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8623"/>
  <workbookPr/>
  <xr:revisionPtr revIDLastSave="0" documentId="8_{46DEB2AC-EA6B-42B1-B309-260C0B894986}" xr6:coauthVersionLast="47" xr6:coauthVersionMax="47" xr10:uidLastSave="{00000000-0000-0000-0000-000000000000}"/>
  <bookViews>
    <workbookView xWindow="28680" yWindow="-120" windowWidth="29040" windowHeight="15720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operações'!$C$7:$AB$25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N9" i="2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8" i="3"/>
  <c r="O29" i="3"/>
  <c r="O30" i="3"/>
  <c r="O31" i="3"/>
  <c r="O32" i="3"/>
  <c r="O33" i="3"/>
  <c r="H8" i="4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W9" i="4"/>
  <c r="X9" i="4"/>
  <c r="Y9" i="4"/>
  <c r="W10" i="4"/>
  <c r="X10" i="4"/>
  <c r="Y10" i="4"/>
  <c r="W11" i="4"/>
  <c r="X11" i="4"/>
  <c r="Y11" i="4"/>
  <c r="W12" i="4"/>
  <c r="X12" i="4"/>
  <c r="Y12" i="4"/>
  <c r="G13" i="4"/>
  <c r="H13" i="4"/>
  <c r="X13" i="4" s="1"/>
  <c r="I13" i="4"/>
  <c r="J13" i="4"/>
  <c r="J17" i="4" s="1"/>
  <c r="K13" i="4"/>
  <c r="L13" i="4"/>
  <c r="M13" i="4"/>
  <c r="N13" i="4"/>
  <c r="O13" i="4"/>
  <c r="P13" i="4"/>
  <c r="P17" i="4" s="1"/>
  <c r="Q13" i="4"/>
  <c r="Y13" i="4" s="1"/>
  <c r="R13" i="4"/>
  <c r="R17" i="4" s="1"/>
  <c r="S13" i="4"/>
  <c r="T13" i="4"/>
  <c r="T17" i="4" s="1"/>
  <c r="U13" i="4"/>
  <c r="U17" i="4" s="1"/>
  <c r="W15" i="4"/>
  <c r="X15" i="4"/>
  <c r="Y15" i="4"/>
  <c r="G16" i="4"/>
  <c r="W16" i="4" s="1"/>
  <c r="H16" i="4"/>
  <c r="H17" i="4" s="1"/>
  <c r="I16" i="4"/>
  <c r="I17" i="4" s="1"/>
  <c r="J16" i="4"/>
  <c r="K16" i="4"/>
  <c r="L16" i="4"/>
  <c r="L17" i="4" s="1"/>
  <c r="M16" i="4"/>
  <c r="M17" i="4" s="1"/>
  <c r="N16" i="4"/>
  <c r="O16" i="4"/>
  <c r="P16" i="4"/>
  <c r="Q16" i="4"/>
  <c r="Y16" i="4" s="1"/>
  <c r="R16" i="4"/>
  <c r="S16" i="4"/>
  <c r="T16" i="4"/>
  <c r="U16" i="4"/>
  <c r="G17" i="4"/>
  <c r="K17" i="4"/>
  <c r="N17" i="4"/>
  <c r="O17" i="4"/>
  <c r="S17" i="4"/>
  <c r="W20" i="4"/>
  <c r="X20" i="4"/>
  <c r="Y20" i="4"/>
  <c r="X21" i="4"/>
  <c r="G22" i="4"/>
  <c r="W22" i="4" s="1"/>
  <c r="H22" i="4"/>
  <c r="X22" i="4" s="1"/>
  <c r="I22" i="4"/>
  <c r="J22" i="4"/>
  <c r="K22" i="4"/>
  <c r="L22" i="4"/>
  <c r="M22" i="4"/>
  <c r="N22" i="4"/>
  <c r="O22" i="4"/>
  <c r="P22" i="4"/>
  <c r="Y22" i="4" s="1"/>
  <c r="Q22" i="4"/>
  <c r="R22" i="4"/>
  <c r="S22" i="4"/>
  <c r="T22" i="4"/>
  <c r="U22" i="4"/>
  <c r="J9" i="2" s="1"/>
  <c r="G24" i="4"/>
  <c r="W13" i="4" l="1"/>
  <c r="Q17" i="4"/>
  <c r="W17" i="4" s="1"/>
  <c r="X16" i="4"/>
  <c r="L12" i="2"/>
  <c r="X17" i="4" l="1"/>
  <c r="Y17" i="4"/>
</calcChain>
</file>

<file path=xl/sharedStrings.xml><?xml version="1.0" encoding="utf-8"?>
<sst xmlns="http://schemas.openxmlformats.org/spreadsheetml/2006/main" count="427" uniqueCount="161">
  <si>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</si>
  <si>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</si>
  <si>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</si>
  <si>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</si>
  <si>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</si>
  <si>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</si>
  <si>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</si>
  <si>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</si>
  <si>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</si>
  <si>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</si>
  <si>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</si>
  <si>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</si>
  <si>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</si>
  <si>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</si>
  <si>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</si>
  <si>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</si>
  <si>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</si>
  <si>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</si>
  <si>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</si>
  <si>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</si>
  <si>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</si>
  <si>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</si>
  <si>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</si>
  <si>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</si>
  <si>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</si>
  <si>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</si>
  <si>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</si>
  <si>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</si>
  <si>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</si>
  <si>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</si>
  <si>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</si>
  <si>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</si>
  <si>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</si>
  <si>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</si>
  <si>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</si>
  <si>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</si>
  <si>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</si>
  <si>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</si>
  <si>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</si>
  <si>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</si>
  <si>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</si>
  <si>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</si>
  <si>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</si>
  <si>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</si>
  <si>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</si>
  <si>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</si>
  <si>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</si>
  <si>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</si>
  <si>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</si>
  <si>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</si>
  <si>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</si>
  <si>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</si>
  <si>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</si>
  <si>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</si>
  <si>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</si>
  <si>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</si>
  <si>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</si>
  <si>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</si>
  <si>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</si>
  <si>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</si>
  <si>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</si>
  <si>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</si>
  <si>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</si>
  <si>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</si>
  <si>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</si>
  <si>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</si>
  <si>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</si>
  <si>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</si>
  <si>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</si>
  <si>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</si>
  <si>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</si>
  <si>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</si>
  <si>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</si>
  <si>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</si>
  <si>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</si>
  <si>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</si>
  <si>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</si>
  <si>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</si>
  <si>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</si>
  <si>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</si>
  <si>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</si>
  <si>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</si>
  <si>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</si>
  <si>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</si>
  <si>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</si>
  <si>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</si>
  <si>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</si>
  <si>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</si>
  <si>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</si>
  <si>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</si>
  <si>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</si>
  <si>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</si>
  <si>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</si>
  <si>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</si>
  <si>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</si>
  <si>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</si>
  <si>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</si>
  <si>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</si>
  <si>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</si>
  <si>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</si>
  <si>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</si>
  <si>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</si>
  <si>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</si>
  <si>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</si>
  <si>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</si>
  <si>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</si>
  <si>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</si>
  <si>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</si>
  <si>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</si>
  <si>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</si>
  <si>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</si>
  <si>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</si>
  <si>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</si>
  <si>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</si>
  <si>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</si>
  <si>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</si>
  <si>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</si>
  <si>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</si>
  <si>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</si>
  <si>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</si>
  <si>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</si>
  <si>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</si>
  <si>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</si>
  <si>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</si>
  <si>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</si>
  <si>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</si>
  <si>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</si>
  <si>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</si>
  <si>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</si>
  <si>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</si>
  <si>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</si>
  <si>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</si>
  <si>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</si>
  <si>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</si>
  <si>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</si>
  <si>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</si>
  <si>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</si>
  <si>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</si>
  <si>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</si>
  <si>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</si>
  <si>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</si>
  <si>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</si>
  <si>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</si>
  <si>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</si>
  <si>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</si>
  <si>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</si>
  <si>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</si>
  <si>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</si>
  <si>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</si>
  <si>
    <t>KNUQ11</t>
  </si>
  <si>
    <t>VGIR11</t>
  </si>
  <si>
    <t>MCRE11</t>
  </si>
  <si>
    <t>Evolução de obras ²</t>
  </si>
  <si>
    <t>BTS</t>
  </si>
  <si>
    <t>Tipo²</t>
  </si>
  <si>
    <t>² Todas as operações com risco de obra apresentam seus percentuais informados na coluna "Evolução de Obras". Para os casos classificadas como "Obra em Repasse", as obras estão 100% concluídas com habite-se emitido</t>
  </si>
  <si>
    <t>Obra em Repasse</t>
  </si>
  <si>
    <t>Ampla</t>
  </si>
  <si>
    <t>25B3290306</t>
  </si>
  <si>
    <t>³ Primeiro desembolso antes dos gatilhos de 19,00% de obra e 55,00% de vendas. Até o alcance destes gatilhos, há garantia de recebíveis pulverizados de outros projetos, na razão de 3 vezes o valor liberado.</t>
  </si>
  <si>
    <t>n.a³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</si>
</sst>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95" formatCode="_(&quot;R$ &quot;* #,##0.00_);_(&quot;R$ &quot;* \(#,##0.00\);_(&quot;R$ &quot;* &quot;-&quot;??_);_(@_)"/>
    <numFmt numFmtId="203" formatCode="_(\ #,##0_);_(\ \(#,##0\);_(\ &quot;-&quot;??_);_(@_)"/>
  </numFmts>
  <fonts count="25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7"/>
      <name val="Darker Grotesque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5700"/>
      <name val="Calibri"/>
      <family val="2"/>
      <scheme val="minor"/>
    </font>
    <font>
      <sz val="10"/>
      <color theme="1"/>
      <name val="Frutiger Light"/>
      <family val="2"/>
    </font>
    <font>
      <sz val="9"/>
      <color theme="1"/>
      <name val="Arial"/>
      <family val="2"/>
    </font>
    <font>
      <sz val="11"/>
      <color theme="1"/>
      <name val="Frutiger Light"/>
      <family val="2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rgb="FF000000"/>
      <name val="Darker Grotesque"/>
    </font>
    <font>
      <sz val="9"/>
      <color theme="1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0"/>
      <color theme="0"/>
      <name val="Darker Grotesque"/>
    </font>
    <font>
      <b/>
      <sz val="10"/>
      <color rgb="FFFFFFFF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2D15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60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5" fillId="0" borderId="0"/>
    <xf numFmtId="0" fontId="9" fillId="0" borderId="0"/>
    <xf numFmtId="0" fontId="10" fillId="0" borderId="0"/>
    <xf numFmtId="0" fontId="6" fillId="0" borderId="0"/>
    <xf numFmtId="0" fontId="5" fillId="0" borderId="0"/>
    <xf numFmtId="0" fontId="11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8">
    <xf numFmtId="0" fontId="0" fillId="0" borderId="0" xfId="0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0" fontId="12" fillId="0" borderId="5" xfId="0" applyFont="1" applyBorder="1"/>
    <xf numFmtId="0" fontId="12" fillId="0" borderId="6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68" fontId="13" fillId="0" borderId="0" xfId="28" applyNumberFormat="1" applyFont="1" applyAlignment="1">
      <alignment horizontal="left" vertical="center"/>
    </xf>
    <xf numFmtId="8" fontId="13" fillId="0" borderId="0" xfId="0" applyNumberFormat="1" applyFont="1" applyAlignment="1">
      <alignment horizontal="left" vertical="center"/>
    </xf>
    <xf numFmtId="3" fontId="13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4" fontId="13" fillId="0" borderId="10" xfId="0" applyNumberFormat="1" applyFont="1" applyBorder="1" applyAlignment="1">
      <alignment horizontal="left" vertical="center" wrapText="1"/>
    </xf>
    <xf numFmtId="8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4" fontId="12" fillId="0" borderId="0" xfId="0" applyNumberFormat="1" applyFont="1" applyAlignment="1">
      <alignment horizontal="left" vertical="center"/>
    </xf>
    <xf numFmtId="3" fontId="17" fillId="0" borderId="0" xfId="0" applyNumberFormat="1" applyFont="1" applyFill="1" applyBorder="1" applyAlignment="1">
      <alignment horizontal="center" vertical="center" readingOrder="1"/>
    </xf>
    <xf numFmtId="0" fontId="18" fillId="0" borderId="0" xfId="0" applyFont="1"/>
    <xf numFmtId="0" fontId="18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horizontal="left" vertical="center"/>
    </xf>
    <xf numFmtId="3" fontId="19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9" fillId="4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0" fontId="13" fillId="0" borderId="10" xfId="0" applyNumberFormat="1" applyFont="1" applyBorder="1" applyAlignment="1">
      <alignment horizontal="left" vertical="center"/>
    </xf>
    <xf numFmtId="4" fontId="12" fillId="0" borderId="0" xfId="0" applyNumberFormat="1" applyFont="1"/>
    <xf numFmtId="10" fontId="12" fillId="0" borderId="0" xfId="0" applyNumberFormat="1" applyFont="1"/>
    <xf numFmtId="10" fontId="13" fillId="0" borderId="0" xfId="24" applyNumberFormat="1" applyFont="1" applyFill="1" applyAlignment="1">
      <alignment horizontal="left" vertic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center"/>
    </xf>
    <xf numFmtId="10" fontId="13" fillId="0" borderId="0" xfId="28" applyNumberFormat="1" applyFont="1" applyFill="1" applyAlignment="1">
      <alignment horizontal="left" vertical="center"/>
    </xf>
    <xf numFmtId="170" fontId="19" fillId="3" borderId="0" xfId="0" applyNumberFormat="1" applyFont="1" applyFill="1" applyBorder="1" applyAlignment="1">
      <alignment horizontal="center" vertical="center"/>
    </xf>
    <xf numFmtId="180" fontId="13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13" fillId="0" borderId="0" xfId="28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1" fillId="5" borderId="1" xfId="0" applyFont="1" applyFill="1" applyBorder="1" applyAlignment="1">
      <alignment vertical="center" wrapText="1"/>
    </xf>
    <xf numFmtId="17" fontId="21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12" fillId="0" borderId="0" xfId="0" applyFont="1"/>
    <xf numFmtId="0" fontId="18" fillId="0" borderId="0" xfId="0" applyFont="1" applyAlignment="1">
      <alignment horizontal="center" vertical="center" readingOrder="1"/>
    </xf>
    <xf numFmtId="10" fontId="18" fillId="0" borderId="0" xfId="0" applyNumberFormat="1" applyFont="1" applyAlignment="1">
      <alignment horizontal="center" vertical="center" readingOrder="1"/>
    </xf>
    <xf numFmtId="17" fontId="18" fillId="0" borderId="0" xfId="0" applyNumberFormat="1" applyFont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10" fontId="17" fillId="0" borderId="0" xfId="0" applyNumberFormat="1" applyFont="1" applyAlignment="1">
      <alignment horizontal="center" vertical="center" readingOrder="1"/>
    </xf>
    <xf numFmtId="3" fontId="17" fillId="0" borderId="0" xfId="0" applyNumberFormat="1" applyFont="1" applyAlignment="1">
      <alignment horizontal="center" vertical="center" readingOrder="1"/>
    </xf>
    <xf numFmtId="17" fontId="17" fillId="0" borderId="0" xfId="0" applyNumberFormat="1" applyFont="1" applyAlignment="1">
      <alignment horizontal="center" vertical="center" readingOrder="1"/>
    </xf>
    <xf numFmtId="10" fontId="17" fillId="0" borderId="0" xfId="24" applyNumberFormat="1" applyFont="1" applyFill="1" applyBorder="1" applyAlignment="1">
      <alignment horizontal="center" vertical="center" readingOrder="1"/>
    </xf>
    <xf numFmtId="0" fontId="22" fillId="6" borderId="11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 readingOrder="1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4" fontId="12" fillId="0" borderId="0" xfId="0" applyNumberFormat="1" applyFont="1"/>
    <xf numFmtId="10" fontId="12" fillId="0" borderId="0" xfId="0" applyNumberFormat="1" applyFont="1"/>
    <xf numFmtId="10" fontId="18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22" fillId="6" borderId="11" xfId="0" applyNumberFormat="1" applyFont="1" applyFill="1" applyBorder="1" applyAlignment="1">
      <alignment horizontal="center" vertical="center" readingOrder="1"/>
    </xf>
    <xf numFmtId="0" fontId="17" fillId="0" borderId="0" xfId="0" quotePrefix="1" applyFont="1" applyAlignment="1">
      <alignment horizontal="center" vertical="center" readingOrder="1"/>
    </xf>
    <xf numFmtId="172" fontId="12" fillId="0" borderId="0" xfId="0" applyNumberFormat="1" applyFont="1" applyAlignment="1">
      <alignment horizontal="center"/>
    </xf>
    <xf numFmtId="0" fontId="23" fillId="0" borderId="0" xfId="0" applyFont="1"/>
    <xf numFmtId="4" fontId="24" fillId="0" borderId="0" xfId="33" applyNumberFormat="1" applyFont="1" applyFill="1" applyBorder="1" applyAlignment="1">
      <alignment horizontal="center" vertical="center" readingOrder="1"/>
    </xf>
    <xf numFmtId="3" fontId="24" fillId="0" borderId="0" xfId="33" applyNumberFormat="1" applyFont="1" applyFill="1" applyBorder="1" applyAlignment="1">
      <alignment horizontal="center" vertical="center" readingOrder="1"/>
    </xf>
    <xf numFmtId="17" fontId="17" fillId="7" borderId="0" xfId="0" applyNumberFormat="1" applyFont="1" applyFill="1" applyAlignment="1">
      <alignment horizontal="center" vertical="center" readingOrder="1"/>
    </xf>
    <xf numFmtId="10" fontId="17" fillId="7" borderId="0" xfId="0" applyNumberFormat="1" applyFont="1" applyFill="1" applyAlignment="1">
      <alignment horizontal="center" vertical="center" readingOrder="1"/>
    </xf>
    <xf numFmtId="9" fontId="17" fillId="0" borderId="0" xfId="0" applyNumberFormat="1" applyFont="1" applyAlignment="1">
      <alignment horizontal="center" vertical="center" readingOrder="1"/>
    </xf>
    <xf numFmtId="172" fontId="17" fillId="0" borderId="0" xfId="0" applyNumberFormat="1" applyFont="1" applyAlignment="1">
      <alignment horizontal="center" vertical="center" readingOrder="1"/>
    </xf>
    <xf numFmtId="172" fontId="18" fillId="0" borderId="0" xfId="0" applyNumberFormat="1" applyFont="1" applyAlignment="1">
      <alignment horizontal="center"/>
    </xf>
    <xf numFmtId="172" fontId="18" fillId="0" borderId="0" xfId="0" applyNumberFormat="1" applyFont="1" applyAlignment="1">
      <alignment horizontal="center" vertical="center" readingOrder="1"/>
    </xf>
    <xf numFmtId="3" fontId="18" fillId="0" borderId="0" xfId="0" applyNumberFormat="1" applyFont="1" applyAlignment="1">
      <alignment horizontal="center" vertical="center" readingOrder="1"/>
    </xf>
    <xf numFmtId="17" fontId="21" fillId="5" borderId="1" xfId="0" applyNumberFormat="1" applyFont="1" applyFill="1" applyBorder="1" applyAlignment="1">
      <alignment horizontal="center" vertical="center" wrapText="1"/>
    </xf>
    <xf numFmtId="17" fontId="21" fillId="5" borderId="0" xfId="0" applyNumberFormat="1" applyFont="1" applyFill="1" applyAlignment="1">
      <alignment horizontal="center" vertical="center" wrapText="1"/>
    </xf>
    <xf numFmtId="180" fontId="12" fillId="0" borderId="0" xfId="0" applyNumberFormat="1" applyFont="1"/>
    <xf numFmtId="168" fontId="12" fillId="0" borderId="0" xfId="0" applyNumberFormat="1" applyFont="1"/>
    <xf numFmtId="168" fontId="13" fillId="0" borderId="0" xfId="28" applyNumberFormat="1" applyFont="1" applyFill="1" applyAlignment="1">
      <alignment horizontal="left" vertical="center" wrapText="1"/>
    </xf>
    <xf numFmtId="10" fontId="17" fillId="0" borderId="0" xfId="0" applyNumberFormat="1" applyFont="1" applyFill="1" applyAlignment="1">
      <alignment horizontal="center" vertical="center" readingOrder="1"/>
    </xf>
    <xf numFmtId="3" fontId="17" fillId="0" borderId="0" xfId="0" applyNumberFormat="1" applyFont="1" applyFill="1" applyAlignment="1">
      <alignment horizontal="center" vertical="center" readingOrder="1"/>
    </xf>
    <xf numFmtId="0" fontId="14" fillId="0" borderId="0" xfId="0" applyFont="1" applyFill="1" applyAlignment="1">
      <alignment vertical="center"/>
    </xf>
    <xf numFmtId="168" fontId="13" fillId="0" borderId="0" xfId="28" applyNumberFormat="1" applyFont="1" applyFill="1" applyAlignment="1">
      <alignment horizontal="left" vertical="center"/>
    </xf>
    <xf numFmtId="4" fontId="19" fillId="3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0" borderId="0" xfId="0" applyNumberFormat="1"/>
    <xf numFmtId="9" fontId="18" fillId="0" borderId="0" xfId="0" applyNumberFormat="1" applyFont="1" applyAlignment="1">
      <alignment horizontal="center" vertical="center" readingOrder="1"/>
    </xf>
    <xf numFmtId="0" fontId="4" fillId="0" borderId="0" xfId="0" applyFont="1"/>
    <xf numFmtId="0" fontId="1" fillId="0" borderId="0" xfId="0" applyFont="1" applyAlignment="1">
      <alignment horizontal="center"/>
    </xf>
    <xf numFmtId="172" fontId="0" fillId="0" borderId="0" xfId="0" applyNumberFormat="1"/>
    <xf numFmtId="3" fontId="1" fillId="0" borderId="0" xfId="0" applyNumberFormat="1" applyFont="1" applyFill="1" applyAlignment="1">
      <alignment horizontal="center" vertical="center" readingOrder="1"/>
    </xf>
    <xf numFmtId="10" fontId="0" fillId="0" borderId="0" xfId="0" applyNumberFormat="1"/>
    <xf numFmtId="10" fontId="13" fillId="0" borderId="0" xfId="28" applyNumberFormat="1" applyFont="1" applyFill="1" applyBorder="1" applyAlignment="1">
      <alignment horizontal="left" vertical="center"/>
    </xf>
    <xf numFmtId="10" fontId="13" fillId="0" borderId="10" xfId="28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203" fontId="12" fillId="0" borderId="0" xfId="0" applyNumberFormat="1" applyFont="1" applyAlignment="1">
      <alignment horizontal="center"/>
    </xf>
    <xf numFmtId="0" fontId="12" fillId="0" borderId="0" xfId="0" applyFont="1"/>
    <xf numFmtId="203" fontId="12" fillId="0" borderId="0" xfId="0" applyNumberFormat="1" applyFont="1" applyAlignment="1">
      <alignment horizontal="center"/>
    </xf>
    <xf numFmtId="203" fontId="12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</cellXfs>
  <cellStyles count="60">
    <cellStyle name="Comma 2" xfId="1"/>
    <cellStyle name="Comma 3" xfId="2"/>
    <cellStyle name="Comma 3 2" xfId="3"/>
    <cellStyle name="Currency 2 2" xfId="4"/>
    <cellStyle name="Hiperlink 2" xfId="5"/>
    <cellStyle name="Moeda 2" xfId="6"/>
    <cellStyle name="Moeda 2 2" xfId="7"/>
    <cellStyle name="Moeda 2 3" xfId="8"/>
    <cellStyle name="Moeda 2 4" xfId="9"/>
    <cellStyle name="Moeda 3" xfId="10"/>
    <cellStyle name="Moeda 4" xfId="11"/>
    <cellStyle name="Moeda 5" xfId="12"/>
    <cellStyle name="Moeda 6" xfId="13"/>
    <cellStyle name="Neutra 2" xfId="14"/>
    <cellStyle name="Normal" xfId="0" builtinId="0"/>
    <cellStyle name="Normal 10" xfId="15"/>
    <cellStyle name="Normal 13" xfId="16"/>
    <cellStyle name="Normal 2" xfId="17"/>
    <cellStyle name="Normal 2 2" xfId="18"/>
    <cellStyle name="Normal 2 3" xfId="19"/>
    <cellStyle name="Normal 2 5" xfId="20"/>
    <cellStyle name="Normal 3" xfId="21"/>
    <cellStyle name="Normal 4" xfId="22"/>
    <cellStyle name="Normal 4 2" xfId="23"/>
    <cellStyle name="Porcentagem" xfId="24" builtinId="5"/>
    <cellStyle name="Porcentagem 2" xfId="25"/>
    <cellStyle name="Porcentagem 2 2" xfId="26"/>
    <cellStyle name="Porcentagem 3" xfId="27"/>
    <cellStyle name="Vírgula" xfId="28" builtinId="3"/>
    <cellStyle name="Vírgula 10" xfId="29"/>
    <cellStyle name="Vírgula 11" xfId="30"/>
    <cellStyle name="Vírgula 12" xfId="31"/>
    <cellStyle name="Vírgula 13" xfId="32"/>
    <cellStyle name="Vírgula 2" xfId="33"/>
    <cellStyle name="Vírgula 2 2" xfId="34"/>
    <cellStyle name="Vírgula 2 3" xfId="35"/>
    <cellStyle name="Vírgula 2 4" xfId="36"/>
    <cellStyle name="Vírgula 2 5" xfId="37"/>
    <cellStyle name="Vírgula 2 6" xfId="38"/>
    <cellStyle name="Vírgula 2 7" xfId="39"/>
    <cellStyle name="Vírgula 3" xfId="40"/>
    <cellStyle name="Vírgula 3 2" xfId="41"/>
    <cellStyle name="Vírgula 3 3" xfId="42"/>
    <cellStyle name="Vírgula 3 4" xfId="43"/>
    <cellStyle name="Vírgula 3 5" xfId="44"/>
    <cellStyle name="Vírgula 4" xfId="45"/>
    <cellStyle name="Vírgula 4 2" xfId="46"/>
    <cellStyle name="Vírgula 4 3" xfId="47"/>
    <cellStyle name="Vírgula 4 4" xfId="48"/>
    <cellStyle name="Vírgula 5" xfId="49"/>
    <cellStyle name="Vírgula 5 2" xfId="50"/>
    <cellStyle name="Vírgula 5 3" xfId="51"/>
    <cellStyle name="Vírgula 5 4" xfId="52"/>
    <cellStyle name="Vírgula 6" xfId="53"/>
    <cellStyle name="Vírgula 6 2" xfId="54"/>
    <cellStyle name="Vírgula 6 3" xfId="55"/>
    <cellStyle name="Vírgula 6 4" xfId="56"/>
    <cellStyle name="Vírgula 7" xfId="57"/>
    <cellStyle name="Vírgula 8" xfId="58"/>
    <cellStyle name="Vírgula 9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1" name="Imagem 10">
          <a:extLst>
            <a:ext uri="{FF2B5EF4-FFF2-40B4-BE49-F238E27FC236}">
              <a16:creationId xmlns:a16="http://schemas.microsoft.com/office/drawing/2014/main" id="{7EECFA7A-320F-E94D-1C88-F07ADC9C5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2" name="Agrupar 11">
          <a:extLst>
            <a:ext uri="{FF2B5EF4-FFF2-40B4-BE49-F238E27FC236}">
              <a16:creationId xmlns:a16="http://schemas.microsoft.com/office/drawing/2014/main" id="{6A59F588-ED0E-3E07-BDA6-84940B0F05A1}"/>
            </a:ext>
          </a:extLst>
        </xdr:cNvPr>
        <xdr:cNvGrpSpPr>
          <a:grpSpLocks/>
        </xdr:cNvGrpSpPr>
      </xdr:nvGrpSpPr>
      <xdr:grpSpPr bwMode="auto">
        <a:xfrm>
          <a:off x="819150" y="981075"/>
          <a:ext cx="1466850" cy="447675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E985A1D9-6CB2-8F7C-217A-119D6FDD06A8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FCAFC27-DF6E-B1EA-7CB8-A7152B86D6F6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3471</xdr:colOff>
      <xdr:row>20</xdr:row>
      <xdr:rowOff>208973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5E62AFD-1BBD-3DF7-DEA4-8635BC7053BA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4" name="Imagem 10">
          <a:extLst>
            <a:ext uri="{FF2B5EF4-FFF2-40B4-BE49-F238E27FC236}">
              <a16:creationId xmlns:a16="http://schemas.microsoft.com/office/drawing/2014/main" id="{9304939F-897A-047C-255A-96B293838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5" name="Agrupar 11">
          <a:extLst>
            <a:ext uri="{FF2B5EF4-FFF2-40B4-BE49-F238E27FC236}">
              <a16:creationId xmlns:a16="http://schemas.microsoft.com/office/drawing/2014/main" id="{3CD75675-ECC0-2838-44D1-129F4162E0FD}"/>
            </a:ext>
          </a:extLst>
        </xdr:cNvPr>
        <xdr:cNvGrpSpPr>
          <a:grpSpLocks/>
        </xdr:cNvGrpSpPr>
      </xdr:nvGrpSpPr>
      <xdr:grpSpPr bwMode="auto">
        <a:xfrm>
          <a:off x="819150" y="981075"/>
          <a:ext cx="1466850" cy="44767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AB51E80F-849D-E20D-8225-3F8C88B7EDE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B0DDF802-7C3C-2DCA-E154-8DEFD98E942F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3470</xdr:colOff>
      <xdr:row>20</xdr:row>
      <xdr:rowOff>208973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3A019CA7-6933-3367-0B74-E349FCE94652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1</xdr:row>
      <xdr:rowOff>393700</xdr:rowOff>
    </xdr:from>
    <xdr:to>
      <xdr:col>2</xdr:col>
      <xdr:colOff>3498850</xdr:colOff>
      <xdr:row>3</xdr:row>
      <xdr:rowOff>342900</xdr:rowOff>
    </xdr:to>
    <xdr:pic>
      <xdr:nvPicPr>
        <xdr:cNvPr id="48617" name="Imagem 10">
          <a:extLst>
            <a:ext uri="{FF2B5EF4-FFF2-40B4-BE49-F238E27FC236}">
              <a16:creationId xmlns:a16="http://schemas.microsoft.com/office/drawing/2014/main" id="{CE437B43-A932-2226-8536-009402DE4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368300"/>
          <a:ext cx="17780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431800</xdr:colOff>
      <xdr:row>4</xdr:row>
      <xdr:rowOff>165100</xdr:rowOff>
    </xdr:from>
    <xdr:to>
      <xdr:col>2</xdr:col>
      <xdr:colOff>3200400</xdr:colOff>
      <xdr:row>7</xdr:row>
      <xdr:rowOff>69850</xdr:rowOff>
    </xdr:to>
    <xdr:grpSp>
      <xdr:nvGrpSpPr>
        <xdr:cNvPr id="48618" name="Agrupar 11">
          <a:extLst>
            <a:ext uri="{FF2B5EF4-FFF2-40B4-BE49-F238E27FC236}">
              <a16:creationId xmlns:a16="http://schemas.microsoft.com/office/drawing/2014/main" id="{D586C495-9004-306A-553A-D9D17A258DD3}"/>
            </a:ext>
          </a:extLst>
        </xdr:cNvPr>
        <xdr:cNvGrpSpPr>
          <a:grpSpLocks/>
        </xdr:cNvGrpSpPr>
      </xdr:nvGrpSpPr>
      <xdr:grpSpPr bwMode="auto">
        <a:xfrm>
          <a:off x="819150" y="981075"/>
          <a:ext cx="1466850" cy="447675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2AC1016C-53C1-1C91-2245-5A50AA21072F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81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62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A43ECFBD-FAF3-A02D-A476-7E7C47C9E0E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34925</xdr:colOff>
      <xdr:row>20</xdr:row>
      <xdr:rowOff>208973</xdr:rowOff>
    </xdr:from>
    <xdr:to>
      <xdr:col>14</xdr:col>
      <xdr:colOff>3470</xdr:colOff>
      <xdr:row>20</xdr:row>
      <xdr:rowOff>208973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B3FE93EB-164A-E0CD-9255-C2FABD5921F7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190500</xdr:rowOff>
    </xdr:from>
    <xdr:to>
      <xdr:col>3</xdr:col>
      <xdr:colOff>336550</xdr:colOff>
      <xdr:row>2</xdr:row>
      <xdr:rowOff>285750</xdr:rowOff>
    </xdr:to>
    <xdr:pic>
      <xdr:nvPicPr>
        <xdr:cNvPr id="45026" name="Imagem 15">
          <a:extLst>
            <a:ext uri="{FF2B5EF4-FFF2-40B4-BE49-F238E27FC236}">
              <a16:creationId xmlns:a16="http://schemas.microsoft.com/office/drawing/2014/main" id="{9CF57439-9287-376E-CF6B-2D99B4631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587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38100</xdr:colOff>
      <xdr:row>5</xdr:row>
      <xdr:rowOff>400050</xdr:rowOff>
    </xdr:to>
    <xdr:grpSp>
      <xdr:nvGrpSpPr>
        <xdr:cNvPr id="45027" name="Agrupar 16">
          <a:extLst>
            <a:ext uri="{FF2B5EF4-FFF2-40B4-BE49-F238E27FC236}">
              <a16:creationId xmlns:a16="http://schemas.microsoft.com/office/drawing/2014/main" id="{DF90C2A8-1B4A-73CD-2E07-22DB652E0F9B}"/>
            </a:ext>
          </a:extLst>
        </xdr:cNvPr>
        <xdr:cNvGrpSpPr>
          <a:grpSpLocks/>
        </xdr:cNvGrpSpPr>
      </xdr:nvGrpSpPr>
      <xdr:grpSpPr bwMode="auto">
        <a:xfrm>
          <a:off x="457200" y="609600"/>
          <a:ext cx="981075" cy="48577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99F8D1EC-E57D-EADA-1C89-61CA9CED3989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5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11727770-68B5-F850-6C5C-4BE032F41DF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158750</xdr:colOff>
      <xdr:row>0</xdr:row>
      <xdr:rowOff>190500</xdr:rowOff>
    </xdr:from>
    <xdr:to>
      <xdr:col>3</xdr:col>
      <xdr:colOff>336550</xdr:colOff>
      <xdr:row>2</xdr:row>
      <xdr:rowOff>285750</xdr:rowOff>
    </xdr:to>
    <xdr:pic>
      <xdr:nvPicPr>
        <xdr:cNvPr id="45028" name="Imagem 15">
          <a:extLst>
            <a:ext uri="{FF2B5EF4-FFF2-40B4-BE49-F238E27FC236}">
              <a16:creationId xmlns:a16="http://schemas.microsoft.com/office/drawing/2014/main" id="{73CA389F-5972-E324-796D-0D5E0AB94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587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38100</xdr:colOff>
      <xdr:row>5</xdr:row>
      <xdr:rowOff>400050</xdr:rowOff>
    </xdr:to>
    <xdr:grpSp>
      <xdr:nvGrpSpPr>
        <xdr:cNvPr id="45029" name="Agrupar 16">
          <a:extLst>
            <a:ext uri="{FF2B5EF4-FFF2-40B4-BE49-F238E27FC236}">
              <a16:creationId xmlns:a16="http://schemas.microsoft.com/office/drawing/2014/main" id="{941B0F16-A968-6EE1-DC2D-79DCA0E1A9A9}"/>
            </a:ext>
          </a:extLst>
        </xdr:cNvPr>
        <xdr:cNvGrpSpPr>
          <a:grpSpLocks/>
        </xdr:cNvGrpSpPr>
      </xdr:nvGrpSpPr>
      <xdr:grpSpPr bwMode="auto">
        <a:xfrm>
          <a:off x="457200" y="609600"/>
          <a:ext cx="981075" cy="4857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E7852873-8399-7EEF-C32B-367093A13ED1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5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3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55546837-D549-6854-2563-3BE1C8765F3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190500</xdr:rowOff>
    </xdr:from>
    <xdr:to>
      <xdr:col>3</xdr:col>
      <xdr:colOff>342900</xdr:colOff>
      <xdr:row>2</xdr:row>
      <xdr:rowOff>285750</xdr:rowOff>
    </xdr:to>
    <xdr:pic>
      <xdr:nvPicPr>
        <xdr:cNvPr id="45928" name="Imagem 5">
          <a:extLst>
            <a:ext uri="{FF2B5EF4-FFF2-40B4-BE49-F238E27FC236}">
              <a16:creationId xmlns:a16="http://schemas.microsoft.com/office/drawing/2014/main" id="{303E8CAE-6632-3F63-9EAC-822A336E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3144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50800</xdr:colOff>
      <xdr:row>5</xdr:row>
      <xdr:rowOff>374650</xdr:rowOff>
    </xdr:to>
    <xdr:grpSp>
      <xdr:nvGrpSpPr>
        <xdr:cNvPr id="45929" name="Agrupar 6">
          <a:extLst>
            <a:ext uri="{FF2B5EF4-FFF2-40B4-BE49-F238E27FC236}">
              <a16:creationId xmlns:a16="http://schemas.microsoft.com/office/drawing/2014/main" id="{91361105-D7F3-3400-66BD-C1746F54FE84}"/>
            </a:ext>
          </a:extLst>
        </xdr:cNvPr>
        <xdr:cNvGrpSpPr>
          <a:grpSpLocks/>
        </xdr:cNvGrpSpPr>
      </xdr:nvGrpSpPr>
      <xdr:grpSpPr bwMode="auto">
        <a:xfrm>
          <a:off x="457200" y="613327"/>
          <a:ext cx="899077" cy="47873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D828DD03-7F0F-07B1-EDFC-E6058EA08739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95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93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8CC43BE-CD96-7222-0434-58E0A2A1926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158750</xdr:colOff>
      <xdr:row>0</xdr:row>
      <xdr:rowOff>190500</xdr:rowOff>
    </xdr:from>
    <xdr:to>
      <xdr:col>3</xdr:col>
      <xdr:colOff>342900</xdr:colOff>
      <xdr:row>2</xdr:row>
      <xdr:rowOff>285750</xdr:rowOff>
    </xdr:to>
    <xdr:pic>
      <xdr:nvPicPr>
        <xdr:cNvPr id="45930" name="Imagem 5">
          <a:extLst>
            <a:ext uri="{FF2B5EF4-FFF2-40B4-BE49-F238E27FC236}">
              <a16:creationId xmlns:a16="http://schemas.microsoft.com/office/drawing/2014/main" id="{047D5182-D6A1-18E1-F6D0-506EFDC7F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84150"/>
          <a:ext cx="13144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3</xdr:row>
      <xdr:rowOff>69850</xdr:rowOff>
    </xdr:from>
    <xdr:to>
      <xdr:col>3</xdr:col>
      <xdr:colOff>50800</xdr:colOff>
      <xdr:row>5</xdr:row>
      <xdr:rowOff>374650</xdr:rowOff>
    </xdr:to>
    <xdr:grpSp>
      <xdr:nvGrpSpPr>
        <xdr:cNvPr id="45931" name="Agrupar 6">
          <a:extLst>
            <a:ext uri="{FF2B5EF4-FFF2-40B4-BE49-F238E27FC236}">
              <a16:creationId xmlns:a16="http://schemas.microsoft.com/office/drawing/2014/main" id="{82BE2E22-E707-1DCB-D4B7-BA83FF2FDD14}"/>
            </a:ext>
          </a:extLst>
        </xdr:cNvPr>
        <xdr:cNvGrpSpPr>
          <a:grpSpLocks/>
        </xdr:cNvGrpSpPr>
      </xdr:nvGrpSpPr>
      <xdr:grpSpPr bwMode="auto">
        <a:xfrm>
          <a:off x="457200" y="613327"/>
          <a:ext cx="899077" cy="47873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92CA80E5-ACF5-BD01-EAA7-13F8A1F207E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95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9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DB99D037-8EA2-36EF-1AE1-3491FFEF3AC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>
      <selection activeCell="K12" sqref="K12"/>
    </sheetView>
  </sheetViews>
  <sheetFormatPr defaultColWidth="9.1796875" defaultRowHeight="14.5"/>
  <cols>
    <col min="1" max="1" width="3.26953125" style="4" customWidth="1"/>
    <col min="2" max="2" width="2.26953125" style="4" customWidth="1"/>
    <col min="3" max="3" width="27.1796875" style="4" customWidth="1"/>
    <col min="4" max="4" width="10.7265625" style="4" customWidth="1"/>
    <col min="5" max="5" width="27" style="4" customWidth="1"/>
    <col min="6" max="6" width="14.81640625" style="4" bestFit="1" customWidth="1"/>
    <col min="7" max="7" width="29.81640625" style="4" customWidth="1"/>
    <col min="8" max="8" width="3.26953125" style="4" customWidth="1"/>
    <col min="9" max="9" width="2.26953125" style="4" customWidth="1"/>
    <col min="10" max="10" width="27.1796875" style="4" customWidth="1"/>
    <col min="11" max="11" width="10.7265625" style="4" customWidth="1"/>
    <col min="12" max="12" width="27" style="4" customWidth="1"/>
    <col min="13" max="13" width="10.7265625" style="4" customWidth="1"/>
    <col min="14" max="14" width="29.81640625" style="4" customWidth="1"/>
    <col min="15" max="16384" width="9.1796875" style="4"/>
  </cols>
  <sheetData>
    <row r="1" spans="1:14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>
      <c r="A2" s="5"/>
      <c r="G2" s="6"/>
      <c r="H2" s="5"/>
      <c r="N2" s="6"/>
    </row>
    <row r="3" spans="1:14" ht="22">
      <c r="A3" s="5"/>
      <c r="E3" s="7" t="s">
        <v>16</v>
      </c>
      <c r="G3" s="6"/>
      <c r="H3" s="5"/>
      <c r="J3" s="7" t="s">
        <v>47</v>
      </c>
      <c r="L3" s="7"/>
      <c r="N3" s="6"/>
    </row>
    <row r="4" spans="1:14">
      <c r="A4" s="5"/>
      <c r="G4" s="6"/>
      <c r="H4" s="5"/>
      <c r="N4" s="6"/>
    </row>
    <row r="5" spans="1:14" ht="14.5" customHeight="1">
      <c r="A5" s="5"/>
      <c r="E5" s="116" t="s">
        <v>21</v>
      </c>
      <c r="F5" s="116"/>
      <c r="G5" s="117"/>
      <c r="H5" s="5"/>
      <c r="L5" s="52"/>
      <c r="M5" s="52"/>
      <c r="N5" s="53"/>
    </row>
    <row r="6" spans="1:14">
      <c r="A6" s="5"/>
      <c r="E6" s="116"/>
      <c r="F6" s="116"/>
      <c r="G6" s="117"/>
      <c r="H6" s="5"/>
      <c r="L6" s="52"/>
      <c r="M6" s="52"/>
      <c r="N6" s="53"/>
    </row>
    <row r="7" spans="1:14">
      <c r="A7" s="5"/>
      <c r="E7" s="116"/>
      <c r="F7" s="116"/>
      <c r="G7" s="117"/>
      <c r="H7" s="5"/>
      <c r="L7" s="52"/>
      <c r="M7" s="52"/>
      <c r="N7" s="53"/>
    </row>
    <row r="8" spans="1:14">
      <c r="A8" s="5"/>
      <c r="G8" s="14"/>
      <c r="H8" s="5"/>
      <c r="L8" s="41"/>
      <c r="N8" s="14"/>
    </row>
    <row r="9" spans="1:14" ht="36" customHeight="1">
      <c r="A9" s="5"/>
      <c r="C9" s="94">
        <v>204525789.09</v>
      </c>
      <c r="D9" s="22"/>
      <c r="E9" s="16">
        <v>0.1</v>
      </c>
      <c r="F9" s="48"/>
      <c r="G9" s="115">
        <v>4614</v>
      </c>
      <c r="H9" s="5"/>
      <c r="J9" s="42">
        <f>((1+DRE!U22/DRE!U24)^12-1)</f>
        <v>0.13055286363341212</v>
      </c>
      <c r="K9" s="22"/>
      <c r="L9" s="42">
        <f>((1+AVERAGE(DRE!H22:U22)/DRE!U24)^12-1)</f>
        <v>0.11565855167344274</v>
      </c>
      <c r="M9" s="38"/>
      <c r="N9" s="39">
        <f>N12/(1+22.5%)</f>
        <v>1.0193759190014877</v>
      </c>
    </row>
    <row r="10" spans="1:14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147</v>
      </c>
      <c r="M10" s="10"/>
      <c r="N10" s="18" t="s">
        <v>51</v>
      </c>
    </row>
    <row r="11" spans="1:14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>
      <c r="A12" s="5"/>
      <c r="C12" s="15">
        <f>C9/21021208</f>
        <v>9.7294974242203391</v>
      </c>
      <c r="D12" s="10"/>
      <c r="E12" s="16" t="s">
        <v>80</v>
      </c>
      <c r="F12" s="10"/>
      <c r="G12" s="46">
        <v>0.83689999999999998</v>
      </c>
      <c r="H12" s="5"/>
      <c r="J12" s="46">
        <v>0.1374961086667108</v>
      </c>
      <c r="K12" s="10"/>
      <c r="L12" s="15">
        <f>AVERAGE(DRE!H22:U22)</f>
        <v>8.9142848362608704E-2</v>
      </c>
      <c r="M12" s="10"/>
      <c r="N12" s="109">
        <v>1.2487355007768226</v>
      </c>
    </row>
    <row r="13" spans="1:14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2">
      <c r="A15" s="5"/>
      <c r="C15" s="94">
        <v>204525789.09</v>
      </c>
      <c r="D15" s="10"/>
      <c r="E15" s="21" t="s">
        <v>26</v>
      </c>
      <c r="F15" s="10"/>
      <c r="G15" s="20">
        <v>45295</v>
      </c>
      <c r="H15" s="5"/>
      <c r="J15" s="46">
        <v>0.05</v>
      </c>
      <c r="K15" s="45"/>
      <c r="L15" s="108">
        <v>0.10004341394082933</v>
      </c>
      <c r="M15" s="51"/>
      <c r="N15" s="109">
        <v>0.21693562068505803</v>
      </c>
    </row>
    <row r="16" spans="1:14">
      <c r="A16" s="5"/>
      <c r="C16" s="97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>
      <c r="A17" s="5"/>
      <c r="C17" s="97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">
      <c r="A18" s="5"/>
      <c r="C18" s="98">
        <f>C15/21021208</f>
        <v>9.7294974242203391</v>
      </c>
      <c r="D18" s="10"/>
      <c r="E18" s="16"/>
      <c r="F18" s="10"/>
      <c r="G18" s="17"/>
      <c r="H18" s="5"/>
      <c r="J18" s="46">
        <v>9.2999999999999999E-2</v>
      </c>
      <c r="K18" s="10"/>
      <c r="L18" s="16"/>
      <c r="M18" s="10"/>
      <c r="N18" s="17"/>
    </row>
    <row r="19" spans="1:14">
      <c r="A19" s="5"/>
      <c r="C19" s="9" t="s">
        <v>50</v>
      </c>
      <c r="D19" s="10"/>
      <c r="E19" s="9" t="s">
        <v>23</v>
      </c>
      <c r="F19" s="23">
        <v>45747</v>
      </c>
      <c r="G19" s="18"/>
      <c r="H19" s="5"/>
      <c r="J19" s="9" t="s">
        <v>101</v>
      </c>
      <c r="K19" s="10"/>
      <c r="L19" s="9"/>
      <c r="M19" s="23"/>
      <c r="N19" s="18"/>
    </row>
    <row r="20" spans="1:14">
      <c r="A20" s="5"/>
      <c r="G20" s="14"/>
      <c r="H20" s="5"/>
      <c r="N20" s="14"/>
    </row>
    <row r="21" spans="1:14">
      <c r="A21" s="5"/>
      <c r="G21" s="6"/>
      <c r="H21" s="5"/>
      <c r="N21" s="6"/>
    </row>
    <row r="22" spans="1:14">
      <c r="A22" s="5"/>
      <c r="G22" s="6"/>
      <c r="H22" s="5"/>
      <c r="L22"/>
      <c r="N22" s="6"/>
    </row>
    <row r="23" spans="1:14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  <row r="25" spans="1:14">
      <c r="E25" s="73"/>
      <c r="F25" s="92"/>
      <c r="G25" s="73"/>
    </row>
    <row r="26" spans="1:14">
      <c r="F26" s="73"/>
      <c r="G26" s="73"/>
      <c r="J26"/>
    </row>
    <row r="27" spans="1:14">
      <c r="G27" s="73"/>
    </row>
    <row r="28" spans="1:14">
      <c r="G28" s="93"/>
    </row>
    <row r="29" spans="1:14">
      <c r="G29" s="93"/>
    </row>
    <row r="31" spans="1:14">
      <c r="G31" s="9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56"/>
  <sheetViews>
    <sheetView showGridLines="0" zoomScaleNormal="100" workbookViewId="0"/>
  </sheetViews>
  <sheetFormatPr defaultColWidth="9.1796875" defaultRowHeight="14.5"/>
  <cols>
    <col min="1" max="3" width="6.7265625" style="4" customWidth="1"/>
    <col min="4" max="4" width="11.54296875" style="43" bestFit="1" customWidth="1"/>
    <col min="5" max="5" width="6.54296875" style="4" customWidth="1"/>
    <col min="6" max="6" width="18.453125" style="4" bestFit="1" customWidth="1"/>
    <col min="7" max="7" width="12.453125" style="4" customWidth="1"/>
    <col min="8" max="8" width="5.26953125" style="4" customWidth="1"/>
    <col min="9" max="9" width="11.54296875" style="4" customWidth="1"/>
    <col min="10" max="10" width="8.54296875" style="4" customWidth="1"/>
    <col min="11" max="11" width="9.453125" style="4" customWidth="1"/>
    <col min="12" max="12" width="10.453125" style="4" customWidth="1"/>
    <col min="13" max="13" width="9.54296875" style="24" customWidth="1"/>
    <col min="14" max="14" width="9.26953125" style="24" customWidth="1"/>
    <col min="15" max="15" width="13.1796875" style="4" customWidth="1"/>
    <col min="16" max="16" width="8.1796875" style="4" customWidth="1"/>
    <col min="17" max="17" width="12.453125" style="4" customWidth="1"/>
    <col min="18" max="18" width="5.7265625" style="41" customWidth="1"/>
    <col min="19" max="19" width="22.54296875" style="4" customWidth="1"/>
    <col min="20" max="20" width="15.1796875" style="4" customWidth="1"/>
    <col min="21" max="21" width="17.81640625" style="4" customWidth="1"/>
    <col min="22" max="22" width="4.7265625" style="4" customWidth="1"/>
    <col min="23" max="23" width="20" style="4" customWidth="1"/>
    <col min="24" max="24" width="13.7265625" style="4" customWidth="1"/>
    <col min="25" max="25" width="11.54296875" style="4" customWidth="1"/>
    <col min="26" max="26" width="24.54296875" style="4" bestFit="1" customWidth="1"/>
    <col min="27" max="27" width="21" style="4" bestFit="1" customWidth="1"/>
    <col min="28" max="28" width="11.453125" style="4" bestFit="1" customWidth="1"/>
    <col min="29" max="16384" width="9.1796875" style="4"/>
  </cols>
  <sheetData>
    <row r="1" spans="3:28"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74"/>
      <c r="T1" s="57"/>
      <c r="U1" s="57"/>
      <c r="V1" s="57"/>
      <c r="W1" s="72"/>
      <c r="X1" s="73"/>
      <c r="Y1" s="57"/>
      <c r="Z1" s="57"/>
      <c r="AA1" s="57"/>
      <c r="AB1" s="57"/>
    </row>
    <row r="2" spans="3:28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74"/>
      <c r="T2" s="57"/>
      <c r="U2" s="57"/>
      <c r="V2" s="57"/>
      <c r="W2" s="72"/>
      <c r="X2" s="73"/>
      <c r="Y2" s="57"/>
      <c r="Z2" s="57"/>
      <c r="AA2" s="57"/>
      <c r="AB2" s="57"/>
    </row>
    <row r="3" spans="3:28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74"/>
      <c r="T3" s="57"/>
      <c r="U3" s="57"/>
      <c r="V3" s="57"/>
      <c r="W3" s="72"/>
      <c r="X3" s="57"/>
      <c r="Y3" s="57"/>
      <c r="Z3" s="57"/>
      <c r="AA3" s="57"/>
      <c r="AB3" s="57"/>
    </row>
    <row r="5" spans="3:28"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101"/>
      <c r="O5" s="81"/>
      <c r="P5" s="82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3:28" ht="15" thickBot="1"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3:28">
      <c r="C7" s="57"/>
      <c r="D7" s="73"/>
      <c r="E7" s="67" t="s">
        <v>1</v>
      </c>
      <c r="F7" s="68" t="s">
        <v>64</v>
      </c>
      <c r="G7" s="68" t="s">
        <v>65</v>
      </c>
      <c r="H7" s="68" t="s">
        <v>67</v>
      </c>
      <c r="I7" s="68" t="s">
        <v>68</v>
      </c>
      <c r="J7" s="68" t="s">
        <v>69</v>
      </c>
      <c r="K7" s="68" t="s">
        <v>100</v>
      </c>
      <c r="L7" s="68" t="s">
        <v>70</v>
      </c>
      <c r="M7" s="68" t="s">
        <v>71</v>
      </c>
      <c r="N7" s="68" t="s">
        <v>72</v>
      </c>
      <c r="O7" s="68" t="s">
        <v>73</v>
      </c>
      <c r="P7" s="68" t="s">
        <v>0</v>
      </c>
      <c r="Q7" s="68" t="s">
        <v>154</v>
      </c>
      <c r="R7" s="77" t="s">
        <v>20</v>
      </c>
      <c r="S7" s="68" t="s">
        <v>28</v>
      </c>
      <c r="T7" s="68" t="s">
        <v>29</v>
      </c>
      <c r="U7" s="68" t="s">
        <v>27</v>
      </c>
      <c r="V7" s="68" t="s">
        <v>56</v>
      </c>
      <c r="W7" s="68" t="s">
        <v>58</v>
      </c>
      <c r="X7" s="68" t="s">
        <v>74</v>
      </c>
      <c r="Y7" s="68" t="s">
        <v>75</v>
      </c>
      <c r="Z7" s="68" t="s">
        <v>152</v>
      </c>
      <c r="AA7" s="68" t="s">
        <v>119</v>
      </c>
      <c r="AB7" s="68" t="s">
        <v>135</v>
      </c>
    </row>
    <row r="8" spans="3:28">
      <c r="C8" s="79"/>
      <c r="D8" s="79"/>
      <c r="E8" s="69" t="s">
        <v>78</v>
      </c>
      <c r="F8" s="69" t="s">
        <v>102</v>
      </c>
      <c r="G8" s="60" t="s">
        <v>103</v>
      </c>
      <c r="H8" s="59" t="s">
        <v>3</v>
      </c>
      <c r="I8" s="63">
        <v>9.11E-2</v>
      </c>
      <c r="J8" s="95">
        <v>9.5605952792130022E-2</v>
      </c>
      <c r="K8" s="64">
        <v>20500</v>
      </c>
      <c r="L8" s="96">
        <v>20500000</v>
      </c>
      <c r="M8" s="96">
        <v>20906890.72851</v>
      </c>
      <c r="N8" s="96">
        <v>19933972.823100001</v>
      </c>
      <c r="O8" s="66">
        <f t="shared" ref="O8:O25" si="0">N8/SUM($N:$N)</f>
        <v>9.7353459925404784E-2</v>
      </c>
      <c r="P8" s="78" t="s">
        <v>6</v>
      </c>
      <c r="Q8" s="62" t="s">
        <v>6</v>
      </c>
      <c r="R8" s="63">
        <v>0.61</v>
      </c>
      <c r="S8" s="62" t="s">
        <v>4</v>
      </c>
      <c r="T8" s="86">
        <v>7.63</v>
      </c>
      <c r="U8" s="65">
        <v>14305</v>
      </c>
      <c r="V8" s="69" t="s">
        <v>15</v>
      </c>
      <c r="W8" s="75">
        <v>1.9</v>
      </c>
      <c r="X8" s="60" t="s">
        <v>104</v>
      </c>
      <c r="Y8" s="60" t="s">
        <v>60</v>
      </c>
      <c r="Z8" s="60" t="s">
        <v>15</v>
      </c>
      <c r="AA8" s="60" t="s">
        <v>15</v>
      </c>
      <c r="AB8" s="60" t="s">
        <v>15</v>
      </c>
    </row>
    <row r="9" spans="3:28">
      <c r="C9" s="79"/>
      <c r="D9" s="79"/>
      <c r="E9" s="69" t="s">
        <v>78</v>
      </c>
      <c r="F9" s="69" t="s">
        <v>89</v>
      </c>
      <c r="G9" s="60" t="s">
        <v>84</v>
      </c>
      <c r="H9" s="59" t="s">
        <v>3</v>
      </c>
      <c r="I9" s="63">
        <v>9.7000000000000003E-2</v>
      </c>
      <c r="J9" s="95">
        <v>0.10035526443040022</v>
      </c>
      <c r="K9" s="64">
        <v>20400</v>
      </c>
      <c r="L9" s="96">
        <v>20400000</v>
      </c>
      <c r="M9" s="96">
        <v>16682346.487692</v>
      </c>
      <c r="N9" s="96">
        <v>16063413.655199999</v>
      </c>
      <c r="O9" s="66">
        <f t="shared" si="0"/>
        <v>7.8450437924471733E-2</v>
      </c>
      <c r="P9" s="59" t="s">
        <v>2</v>
      </c>
      <c r="Q9" s="62" t="s">
        <v>5</v>
      </c>
      <c r="R9" s="63">
        <v>0.32</v>
      </c>
      <c r="S9" s="62" t="s">
        <v>94</v>
      </c>
      <c r="T9" s="86">
        <v>4.3</v>
      </c>
      <c r="U9" s="65">
        <v>48601</v>
      </c>
      <c r="V9" s="69" t="s">
        <v>15</v>
      </c>
      <c r="W9" s="75">
        <v>0.33</v>
      </c>
      <c r="X9" s="60" t="s">
        <v>66</v>
      </c>
      <c r="Y9" s="60" t="s">
        <v>63</v>
      </c>
      <c r="Z9" s="60" t="s">
        <v>15</v>
      </c>
      <c r="AA9" s="60" t="s">
        <v>122</v>
      </c>
      <c r="AB9" s="60" t="s">
        <v>136</v>
      </c>
    </row>
    <row r="10" spans="3:28">
      <c r="C10" s="79"/>
      <c r="D10" s="79"/>
      <c r="E10" s="69" t="s">
        <v>78</v>
      </c>
      <c r="F10" s="69" t="s">
        <v>99</v>
      </c>
      <c r="G10" s="60" t="s">
        <v>86</v>
      </c>
      <c r="H10" s="59" t="s">
        <v>87</v>
      </c>
      <c r="I10" s="63">
        <v>9.2999999999999999E-2</v>
      </c>
      <c r="J10" s="95">
        <v>9.4439693371794364E-2</v>
      </c>
      <c r="K10" s="64">
        <v>21236</v>
      </c>
      <c r="L10" s="96">
        <v>21236000</v>
      </c>
      <c r="M10" s="96">
        <v>16118403.9085306</v>
      </c>
      <c r="N10" s="96">
        <v>15876563.077188002</v>
      </c>
      <c r="O10" s="66">
        <f t="shared" si="0"/>
        <v>7.7537897789097907E-2</v>
      </c>
      <c r="P10" s="62" t="s">
        <v>5</v>
      </c>
      <c r="Q10" s="62" t="s">
        <v>5</v>
      </c>
      <c r="R10" s="63">
        <v>0.40373238038514991</v>
      </c>
      <c r="S10" s="62" t="s">
        <v>95</v>
      </c>
      <c r="T10" s="86">
        <v>4.0999999999999996</v>
      </c>
      <c r="U10" s="65">
        <v>49232</v>
      </c>
      <c r="V10" s="69" t="s">
        <v>30</v>
      </c>
      <c r="W10" s="75">
        <v>0.31</v>
      </c>
      <c r="X10" s="60" t="s">
        <v>88</v>
      </c>
      <c r="Y10" s="60" t="s">
        <v>60</v>
      </c>
      <c r="Z10" s="60" t="s">
        <v>15</v>
      </c>
      <c r="AA10" s="60" t="s">
        <v>123</v>
      </c>
      <c r="AB10" s="60" t="s">
        <v>137</v>
      </c>
    </row>
    <row r="11" spans="3:28">
      <c r="C11" s="79"/>
      <c r="D11" s="79"/>
      <c r="E11" s="69" t="s">
        <v>78</v>
      </c>
      <c r="F11" s="69" t="s">
        <v>141</v>
      </c>
      <c r="G11" s="60" t="s">
        <v>120</v>
      </c>
      <c r="H11" s="59" t="s">
        <v>3</v>
      </c>
      <c r="I11" s="63">
        <v>9.8000000000000004E-2</v>
      </c>
      <c r="J11" s="95">
        <v>0.10091765878796988</v>
      </c>
      <c r="K11" s="64">
        <v>16345</v>
      </c>
      <c r="L11" s="96">
        <v>16345000</v>
      </c>
      <c r="M11" s="96">
        <v>16410954.89108005</v>
      </c>
      <c r="N11" s="96">
        <v>15792231.664965</v>
      </c>
      <c r="O11" s="66">
        <f t="shared" si="0"/>
        <v>7.7126040361922582E-2</v>
      </c>
      <c r="P11" s="62" t="s">
        <v>2</v>
      </c>
      <c r="Q11" s="62" t="s">
        <v>97</v>
      </c>
      <c r="R11" s="63">
        <v>0.53</v>
      </c>
      <c r="S11" s="62" t="s">
        <v>4</v>
      </c>
      <c r="T11" s="86">
        <v>4</v>
      </c>
      <c r="U11" s="65">
        <v>46593</v>
      </c>
      <c r="V11" s="63" t="s">
        <v>15</v>
      </c>
      <c r="W11" s="63" t="s">
        <v>15</v>
      </c>
      <c r="X11" s="60" t="s">
        <v>66</v>
      </c>
      <c r="Y11" s="60" t="s">
        <v>61</v>
      </c>
      <c r="Z11" s="102">
        <v>0.3528</v>
      </c>
      <c r="AA11" s="60" t="s">
        <v>128</v>
      </c>
      <c r="AB11" s="60" t="s">
        <v>15</v>
      </c>
    </row>
    <row r="12" spans="3:28">
      <c r="C12" s="79"/>
      <c r="D12" s="79"/>
      <c r="E12" s="69" t="s">
        <v>78</v>
      </c>
      <c r="F12" s="69" t="s">
        <v>83</v>
      </c>
      <c r="G12" s="60" t="s">
        <v>85</v>
      </c>
      <c r="H12" s="59" t="s">
        <v>3</v>
      </c>
      <c r="I12" s="63">
        <v>9.5000000000000001E-2</v>
      </c>
      <c r="J12" s="95">
        <v>9.7059977219910998E-2</v>
      </c>
      <c r="K12" s="64">
        <v>24250</v>
      </c>
      <c r="L12" s="96">
        <v>24250000</v>
      </c>
      <c r="M12" s="96">
        <v>16051802.849442501</v>
      </c>
      <c r="N12" s="96">
        <v>15592022.524250001</v>
      </c>
      <c r="O12" s="66">
        <f t="shared" si="0"/>
        <v>7.6148259729317797E-2</v>
      </c>
      <c r="P12" s="59" t="s">
        <v>2</v>
      </c>
      <c r="Q12" s="62" t="s">
        <v>98</v>
      </c>
      <c r="R12" s="63">
        <v>0.34154929577464788</v>
      </c>
      <c r="S12" s="62" t="s">
        <v>4</v>
      </c>
      <c r="T12" s="86">
        <v>4</v>
      </c>
      <c r="U12" s="65">
        <v>49232</v>
      </c>
      <c r="V12" s="110" t="s">
        <v>15</v>
      </c>
      <c r="W12" s="75">
        <v>0.34677400232768196</v>
      </c>
      <c r="X12" s="60" t="s">
        <v>66</v>
      </c>
      <c r="Y12" s="60" t="s">
        <v>61</v>
      </c>
      <c r="Z12" s="60" t="s">
        <v>15</v>
      </c>
      <c r="AA12" s="60" t="s">
        <v>15</v>
      </c>
      <c r="AB12" s="60" t="s">
        <v>15</v>
      </c>
    </row>
    <row r="13" spans="3:28">
      <c r="C13" s="79"/>
      <c r="D13" s="79"/>
      <c r="E13" s="69" t="s">
        <v>78</v>
      </c>
      <c r="F13" s="69" t="s">
        <v>105</v>
      </c>
      <c r="G13" s="60" t="s">
        <v>107</v>
      </c>
      <c r="H13" s="59" t="s">
        <v>3</v>
      </c>
      <c r="I13" s="63">
        <v>9.8000000000000004E-2</v>
      </c>
      <c r="J13" s="95">
        <v>0.1008650274680829</v>
      </c>
      <c r="K13" s="64">
        <v>17307</v>
      </c>
      <c r="L13" s="96">
        <v>14500609.970000001</v>
      </c>
      <c r="M13" s="96">
        <v>13211622.624301739</v>
      </c>
      <c r="N13" s="96">
        <v>12740869.925586</v>
      </c>
      <c r="O13" s="66">
        <f t="shared" si="0"/>
        <v>6.2223811616616713E-2</v>
      </c>
      <c r="P13" s="78" t="s">
        <v>6</v>
      </c>
      <c r="Q13" s="62" t="s">
        <v>113</v>
      </c>
      <c r="R13" s="63">
        <v>0.5</v>
      </c>
      <c r="S13" s="62" t="s">
        <v>4</v>
      </c>
      <c r="T13" s="86">
        <v>3</v>
      </c>
      <c r="U13" s="65">
        <v>47352</v>
      </c>
      <c r="V13" s="69" t="s">
        <v>57</v>
      </c>
      <c r="W13" s="75" t="s">
        <v>15</v>
      </c>
      <c r="X13" s="60" t="s">
        <v>66</v>
      </c>
      <c r="Y13" s="60" t="s">
        <v>61</v>
      </c>
      <c r="Z13" s="60" t="s">
        <v>15</v>
      </c>
      <c r="AA13" s="60" t="s">
        <v>15</v>
      </c>
      <c r="AB13" s="60" t="s">
        <v>15</v>
      </c>
    </row>
    <row r="14" spans="3:28">
      <c r="C14" s="79"/>
      <c r="D14" s="79"/>
      <c r="E14" s="69" t="s">
        <v>78</v>
      </c>
      <c r="F14" s="69" t="s">
        <v>91</v>
      </c>
      <c r="G14" s="60" t="s">
        <v>79</v>
      </c>
      <c r="H14" s="59" t="s">
        <v>3</v>
      </c>
      <c r="I14" s="63">
        <v>0.1007</v>
      </c>
      <c r="J14" s="95">
        <v>0.11111960320273662</v>
      </c>
      <c r="K14" s="64">
        <v>21692020</v>
      </c>
      <c r="L14" s="96">
        <v>21999981.60794</v>
      </c>
      <c r="M14" s="96">
        <v>13202788.319945</v>
      </c>
      <c r="N14" s="96">
        <v>12046793.45912</v>
      </c>
      <c r="O14" s="66">
        <f t="shared" si="0"/>
        <v>5.8834083634999243E-2</v>
      </c>
      <c r="P14" s="62" t="s">
        <v>2</v>
      </c>
      <c r="Q14" s="62" t="s">
        <v>5</v>
      </c>
      <c r="R14" s="63">
        <v>0.64530683154788249</v>
      </c>
      <c r="S14" s="62" t="s">
        <v>96</v>
      </c>
      <c r="T14" s="86">
        <v>5.1100000000000003</v>
      </c>
      <c r="U14" s="65">
        <v>49202</v>
      </c>
      <c r="V14" s="69" t="s">
        <v>30</v>
      </c>
      <c r="W14" s="75">
        <v>0.1875</v>
      </c>
      <c r="X14" s="60" t="s">
        <v>66</v>
      </c>
      <c r="Y14" s="60" t="s">
        <v>60</v>
      </c>
      <c r="Z14" s="60" t="s">
        <v>15</v>
      </c>
      <c r="AA14" s="60" t="s">
        <v>15</v>
      </c>
      <c r="AB14" s="60" t="s">
        <v>136</v>
      </c>
    </row>
    <row r="15" spans="3:28">
      <c r="C15" s="79"/>
      <c r="D15" s="79"/>
      <c r="E15" s="69" t="s">
        <v>78</v>
      </c>
      <c r="F15" s="69" t="s">
        <v>117</v>
      </c>
      <c r="G15" s="60" t="s">
        <v>118</v>
      </c>
      <c r="H15" s="59" t="s">
        <v>3</v>
      </c>
      <c r="I15" s="63">
        <v>0.11</v>
      </c>
      <c r="J15" s="95">
        <v>0.11437661921080555</v>
      </c>
      <c r="K15" s="64">
        <v>10629</v>
      </c>
      <c r="L15" s="96">
        <v>10641854.130000001</v>
      </c>
      <c r="M15" s="96">
        <v>10741256.08352847</v>
      </c>
      <c r="N15" s="96">
        <v>10250589.945231</v>
      </c>
      <c r="O15" s="66">
        <f t="shared" si="0"/>
        <v>5.0061791811433387E-2</v>
      </c>
      <c r="P15" s="62" t="s">
        <v>2</v>
      </c>
      <c r="Q15" s="62" t="s">
        <v>97</v>
      </c>
      <c r="R15" s="63">
        <v>0.38</v>
      </c>
      <c r="S15" s="62" t="s">
        <v>4</v>
      </c>
      <c r="T15" s="86">
        <v>3</v>
      </c>
      <c r="U15" s="65">
        <v>46646</v>
      </c>
      <c r="V15" s="69" t="s">
        <v>57</v>
      </c>
      <c r="W15" s="75" t="s">
        <v>15</v>
      </c>
      <c r="X15" s="60" t="s">
        <v>66</v>
      </c>
      <c r="Y15" s="60" t="s">
        <v>61</v>
      </c>
      <c r="Z15" s="102">
        <v>0.1603</v>
      </c>
      <c r="AA15" s="60" t="s">
        <v>125</v>
      </c>
      <c r="AB15" s="60" t="s">
        <v>15</v>
      </c>
    </row>
    <row r="16" spans="3:28">
      <c r="C16" s="79"/>
      <c r="D16" s="79"/>
      <c r="E16" s="69" t="s">
        <v>78</v>
      </c>
      <c r="F16" s="69" t="s">
        <v>9</v>
      </c>
      <c r="G16" s="60" t="s">
        <v>13</v>
      </c>
      <c r="H16" s="59" t="s">
        <v>3</v>
      </c>
      <c r="I16" s="63">
        <v>0.11</v>
      </c>
      <c r="J16" s="95">
        <v>0.1075829356669229</v>
      </c>
      <c r="K16" s="64">
        <v>7096</v>
      </c>
      <c r="L16" s="96">
        <v>7063035.8099856805</v>
      </c>
      <c r="M16" s="96">
        <v>6981671.4644355997</v>
      </c>
      <c r="N16" s="96">
        <v>7110547.1760880006</v>
      </c>
      <c r="O16" s="66">
        <f t="shared" si="0"/>
        <v>3.4726462993508352E-2</v>
      </c>
      <c r="P16" s="62" t="s">
        <v>6</v>
      </c>
      <c r="Q16" s="62" t="s">
        <v>153</v>
      </c>
      <c r="R16" s="63">
        <v>0.77011494252873569</v>
      </c>
      <c r="S16" s="62" t="s">
        <v>4</v>
      </c>
      <c r="T16" s="86">
        <v>3.1</v>
      </c>
      <c r="U16" s="65">
        <v>48871</v>
      </c>
      <c r="V16" s="69" t="s">
        <v>15</v>
      </c>
      <c r="W16" s="75" t="s">
        <v>15</v>
      </c>
      <c r="X16" s="60" t="s">
        <v>66</v>
      </c>
      <c r="Y16" s="60" t="s">
        <v>60</v>
      </c>
      <c r="Z16" s="60" t="s">
        <v>15</v>
      </c>
      <c r="AA16" s="60" t="s">
        <v>126</v>
      </c>
      <c r="AB16" s="60" t="s">
        <v>15</v>
      </c>
    </row>
    <row r="17" spans="3:28">
      <c r="C17" s="79"/>
      <c r="D17" s="79"/>
      <c r="E17" s="69" t="s">
        <v>78</v>
      </c>
      <c r="F17" s="69" t="s">
        <v>111</v>
      </c>
      <c r="G17" s="60" t="s">
        <v>109</v>
      </c>
      <c r="H17" s="59" t="s">
        <v>7</v>
      </c>
      <c r="I17" s="63">
        <v>0.16</v>
      </c>
      <c r="J17" s="95">
        <v>0.16000000204181553</v>
      </c>
      <c r="K17" s="64">
        <v>6000</v>
      </c>
      <c r="L17" s="96">
        <v>6000000</v>
      </c>
      <c r="M17" s="96">
        <v>6863428.3559400002</v>
      </c>
      <c r="N17" s="96">
        <v>6863428.3080000002</v>
      </c>
      <c r="O17" s="66">
        <f t="shared" si="0"/>
        <v>3.3519584814496406E-2</v>
      </c>
      <c r="P17" s="78" t="s">
        <v>2</v>
      </c>
      <c r="Q17" s="62" t="s">
        <v>114</v>
      </c>
      <c r="R17" s="85" t="s">
        <v>15</v>
      </c>
      <c r="S17" s="62" t="s">
        <v>93</v>
      </c>
      <c r="T17" s="63" t="s">
        <v>15</v>
      </c>
      <c r="U17" s="65">
        <v>47224</v>
      </c>
      <c r="V17" s="63" t="s">
        <v>15</v>
      </c>
      <c r="W17" s="63" t="s">
        <v>15</v>
      </c>
      <c r="X17" s="60" t="s">
        <v>66</v>
      </c>
      <c r="Y17" s="60" t="s">
        <v>115</v>
      </c>
      <c r="Z17" s="60" t="s">
        <v>15</v>
      </c>
      <c r="AA17" s="60" t="s">
        <v>15</v>
      </c>
      <c r="AB17" s="60" t="s">
        <v>15</v>
      </c>
    </row>
    <row r="18" spans="3:28">
      <c r="C18" s="79"/>
      <c r="D18" s="79"/>
      <c r="E18" s="69" t="s">
        <v>78</v>
      </c>
      <c r="F18" s="69" t="s">
        <v>77</v>
      </c>
      <c r="G18" s="60" t="s">
        <v>76</v>
      </c>
      <c r="H18" s="59" t="s">
        <v>3</v>
      </c>
      <c r="I18" s="63">
        <v>0.12</v>
      </c>
      <c r="J18" s="95">
        <v>0.12023225101930368</v>
      </c>
      <c r="K18" s="64">
        <v>8609</v>
      </c>
      <c r="L18" s="96">
        <v>8636237.58000114</v>
      </c>
      <c r="M18" s="96">
        <v>5992554.3006984899</v>
      </c>
      <c r="N18" s="96">
        <v>5909386.1814379999</v>
      </c>
      <c r="O18" s="66">
        <f t="shared" si="0"/>
        <v>2.8860237540391027E-2</v>
      </c>
      <c r="P18" s="59" t="s">
        <v>6</v>
      </c>
      <c r="Q18" s="59" t="s">
        <v>97</v>
      </c>
      <c r="R18" s="60">
        <v>0.75</v>
      </c>
      <c r="S18" s="59" t="s">
        <v>4</v>
      </c>
      <c r="T18" s="88">
        <v>2.1833333333333331</v>
      </c>
      <c r="U18" s="61">
        <v>46997</v>
      </c>
      <c r="V18" s="69" t="s">
        <v>30</v>
      </c>
      <c r="W18" s="75">
        <v>0.25</v>
      </c>
      <c r="X18" s="60" t="s">
        <v>66</v>
      </c>
      <c r="Y18" s="60" t="s">
        <v>61</v>
      </c>
      <c r="Z18" s="102">
        <v>0.78</v>
      </c>
      <c r="AA18" s="60" t="s">
        <v>129</v>
      </c>
      <c r="AB18" s="60" t="s">
        <v>15</v>
      </c>
    </row>
    <row r="19" spans="3:28">
      <c r="C19" s="79"/>
      <c r="D19" s="79"/>
      <c r="E19" s="69" t="s">
        <v>78</v>
      </c>
      <c r="F19" s="69" t="s">
        <v>90</v>
      </c>
      <c r="G19" s="60" t="s">
        <v>12</v>
      </c>
      <c r="H19" s="59" t="s">
        <v>3</v>
      </c>
      <c r="I19" s="63">
        <v>0.109</v>
      </c>
      <c r="J19" s="95">
        <v>0.10845728257541909</v>
      </c>
      <c r="K19" s="64">
        <v>20455</v>
      </c>
      <c r="L19" s="96">
        <v>20459483.270013601</v>
      </c>
      <c r="M19" s="96">
        <v>5249729.1567828003</v>
      </c>
      <c r="N19" s="96">
        <v>5184421.4522599997</v>
      </c>
      <c r="O19" s="66">
        <f t="shared" si="0"/>
        <v>2.5319657579954091E-2</v>
      </c>
      <c r="P19" s="62" t="s">
        <v>2</v>
      </c>
      <c r="Q19" s="62" t="s">
        <v>97</v>
      </c>
      <c r="R19" s="63">
        <v>0.33</v>
      </c>
      <c r="S19" s="62" t="s">
        <v>4</v>
      </c>
      <c r="T19" s="86">
        <v>3</v>
      </c>
      <c r="U19" s="65">
        <v>45962</v>
      </c>
      <c r="V19" s="69" t="s">
        <v>57</v>
      </c>
      <c r="W19" s="75" t="s">
        <v>15</v>
      </c>
      <c r="X19" s="60" t="s">
        <v>66</v>
      </c>
      <c r="Y19" s="60" t="s">
        <v>61</v>
      </c>
      <c r="Z19" s="60" t="s">
        <v>156</v>
      </c>
      <c r="AA19" s="60" t="s">
        <v>124</v>
      </c>
      <c r="AB19" s="60" t="s">
        <v>15</v>
      </c>
    </row>
    <row r="20" spans="3:28">
      <c r="C20" s="79"/>
      <c r="D20" s="79"/>
      <c r="E20" s="69" t="s">
        <v>78</v>
      </c>
      <c r="F20" s="69" t="s">
        <v>140</v>
      </c>
      <c r="G20" s="60" t="s">
        <v>139</v>
      </c>
      <c r="H20" s="59" t="s">
        <v>3</v>
      </c>
      <c r="I20" s="63">
        <v>9.5699999999999993E-2</v>
      </c>
      <c r="J20" s="95">
        <v>0.10482289735237438</v>
      </c>
      <c r="K20" s="64">
        <v>5201550</v>
      </c>
      <c r="L20" s="96">
        <v>5000000.3405999998</v>
      </c>
      <c r="M20" s="96">
        <v>4807059.1944345003</v>
      </c>
      <c r="N20" s="96">
        <v>4609499.1759000001</v>
      </c>
      <c r="O20" s="66">
        <f t="shared" si="0"/>
        <v>2.2511854374414678E-2</v>
      </c>
      <c r="P20" s="78" t="s">
        <v>2</v>
      </c>
      <c r="Q20" s="62" t="s">
        <v>5</v>
      </c>
      <c r="R20" s="63">
        <v>0.63270000000000004</v>
      </c>
      <c r="S20" s="62" t="s">
        <v>96</v>
      </c>
      <c r="T20" s="86">
        <v>3.5</v>
      </c>
      <c r="U20" s="83">
        <v>12128</v>
      </c>
      <c r="V20" s="63" t="s">
        <v>30</v>
      </c>
      <c r="W20" s="84">
        <v>0.1825</v>
      </c>
      <c r="X20" s="60" t="s">
        <v>104</v>
      </c>
      <c r="Y20" s="60" t="s">
        <v>60</v>
      </c>
      <c r="Z20" s="60" t="s">
        <v>15</v>
      </c>
      <c r="AA20" s="60" t="s">
        <v>15</v>
      </c>
      <c r="AB20" s="60" t="s">
        <v>136</v>
      </c>
    </row>
    <row r="21" spans="3:28">
      <c r="C21" s="79"/>
      <c r="D21" s="79"/>
      <c r="E21" s="69" t="s">
        <v>78</v>
      </c>
      <c r="F21" s="69" t="s">
        <v>112</v>
      </c>
      <c r="G21" s="60" t="s">
        <v>110</v>
      </c>
      <c r="H21" s="59" t="s">
        <v>7</v>
      </c>
      <c r="I21" s="63">
        <v>0.16</v>
      </c>
      <c r="J21" s="95">
        <v>0.16000000204181553</v>
      </c>
      <c r="K21" s="64">
        <v>4000</v>
      </c>
      <c r="L21" s="96">
        <v>4000000</v>
      </c>
      <c r="M21" s="96">
        <v>4575618.9039600007</v>
      </c>
      <c r="N21" s="96">
        <v>4575618.8720000004</v>
      </c>
      <c r="O21" s="66">
        <f t="shared" si="0"/>
        <v>2.2346389876330936E-2</v>
      </c>
      <c r="P21" s="78" t="s">
        <v>2</v>
      </c>
      <c r="Q21" s="62" t="s">
        <v>114</v>
      </c>
      <c r="R21" s="85" t="s">
        <v>15</v>
      </c>
      <c r="S21" s="62" t="s">
        <v>93</v>
      </c>
      <c r="T21" s="63" t="s">
        <v>15</v>
      </c>
      <c r="U21" s="65">
        <v>47224</v>
      </c>
      <c r="V21" s="63" t="s">
        <v>15</v>
      </c>
      <c r="W21" s="63" t="s">
        <v>15</v>
      </c>
      <c r="X21" s="60" t="s">
        <v>66</v>
      </c>
      <c r="Y21" s="60" t="s">
        <v>115</v>
      </c>
      <c r="Z21" s="60" t="s">
        <v>15</v>
      </c>
      <c r="AA21" s="60" t="s">
        <v>15</v>
      </c>
      <c r="AB21" s="60" t="s">
        <v>15</v>
      </c>
    </row>
    <row r="22" spans="3:28">
      <c r="C22" s="79"/>
      <c r="D22" s="79"/>
      <c r="E22" s="69" t="s">
        <v>78</v>
      </c>
      <c r="F22" s="69" t="s">
        <v>130</v>
      </c>
      <c r="G22" s="60" t="s">
        <v>131</v>
      </c>
      <c r="H22" s="59" t="s">
        <v>3</v>
      </c>
      <c r="I22" s="63">
        <v>0.109</v>
      </c>
      <c r="J22" s="95">
        <v>0.11275371983035654</v>
      </c>
      <c r="K22" s="64">
        <v>4513</v>
      </c>
      <c r="L22" s="96">
        <v>4516882.5600000089</v>
      </c>
      <c r="M22" s="96">
        <v>4537012.5319782104</v>
      </c>
      <c r="N22" s="96">
        <v>4353780.3671399998</v>
      </c>
      <c r="O22" s="66">
        <f t="shared" si="0"/>
        <v>2.1262975838173277E-2</v>
      </c>
      <c r="P22" s="62" t="s">
        <v>2</v>
      </c>
      <c r="Q22" s="62" t="s">
        <v>97</v>
      </c>
      <c r="R22" s="63">
        <v>0.57073170731707312</v>
      </c>
      <c r="S22" s="62" t="s">
        <v>4</v>
      </c>
      <c r="T22" s="86">
        <v>3</v>
      </c>
      <c r="U22" s="65">
        <v>46590</v>
      </c>
      <c r="V22" s="69" t="s">
        <v>15</v>
      </c>
      <c r="W22" s="75" t="s">
        <v>15</v>
      </c>
      <c r="X22" s="60" t="s">
        <v>133</v>
      </c>
      <c r="Y22" s="60" t="s">
        <v>132</v>
      </c>
      <c r="Z22" s="102">
        <v>0.4209</v>
      </c>
      <c r="AA22" s="60" t="s">
        <v>134</v>
      </c>
      <c r="AB22" s="60" t="s">
        <v>15</v>
      </c>
    </row>
    <row r="23" spans="3:28" s="112" customFormat="1">
      <c r="C23" s="79"/>
      <c r="D23" s="79"/>
      <c r="E23" s="110" t="s">
        <v>78</v>
      </c>
      <c r="F23" s="110" t="s">
        <v>157</v>
      </c>
      <c r="G23" s="60" t="s">
        <v>158</v>
      </c>
      <c r="H23" s="59" t="s">
        <v>3</v>
      </c>
      <c r="I23" s="63">
        <v>0.115</v>
      </c>
      <c r="J23" s="63">
        <v>0.115</v>
      </c>
      <c r="K23" s="64">
        <v>3000</v>
      </c>
      <c r="L23" s="96">
        <v>3000000</v>
      </c>
      <c r="M23" s="96">
        <v>3000000</v>
      </c>
      <c r="N23" s="96">
        <v>3000000</v>
      </c>
      <c r="O23" s="66">
        <f t="shared" si="0"/>
        <v>1.4651388479759903E-2</v>
      </c>
      <c r="P23" s="62" t="s">
        <v>2</v>
      </c>
      <c r="Q23" s="62" t="s">
        <v>97</v>
      </c>
      <c r="R23" s="63">
        <v>0.43</v>
      </c>
      <c r="S23" s="62" t="s">
        <v>4</v>
      </c>
      <c r="T23" s="86">
        <v>2.8083333333333336</v>
      </c>
      <c r="U23" s="65">
        <v>46986</v>
      </c>
      <c r="V23" s="110" t="s">
        <v>57</v>
      </c>
      <c r="W23" s="75" t="s">
        <v>15</v>
      </c>
      <c r="X23" s="60" t="s">
        <v>66</v>
      </c>
      <c r="Y23" s="60" t="s">
        <v>61</v>
      </c>
      <c r="Z23" s="60" t="s">
        <v>160</v>
      </c>
      <c r="AA23" s="60" t="s">
        <v>125</v>
      </c>
      <c r="AB23" s="60" t="s">
        <v>136</v>
      </c>
    </row>
    <row r="24" spans="3:28">
      <c r="C24" s="79"/>
      <c r="D24" s="79"/>
      <c r="E24" s="69" t="s">
        <v>78</v>
      </c>
      <c r="F24" s="69" t="s">
        <v>10</v>
      </c>
      <c r="G24" s="60" t="s">
        <v>14</v>
      </c>
      <c r="H24" s="59" t="s">
        <v>59</v>
      </c>
      <c r="I24" s="63">
        <v>0.05</v>
      </c>
      <c r="J24" s="95">
        <v>4.9570751331236673E-2</v>
      </c>
      <c r="K24" s="64">
        <v>4000</v>
      </c>
      <c r="L24" s="96">
        <v>4000000</v>
      </c>
      <c r="M24" s="96">
        <v>2714527.9111200003</v>
      </c>
      <c r="N24" s="96">
        <v>2735821.36</v>
      </c>
      <c r="O24" s="66">
        <f t="shared" si="0"/>
        <v>1.3361193852195023E-2</v>
      </c>
      <c r="P24" s="62" t="s">
        <v>2</v>
      </c>
      <c r="Q24" s="62" t="s">
        <v>97</v>
      </c>
      <c r="R24" s="63">
        <v>0.44679999999999997</v>
      </c>
      <c r="S24" s="62" t="s">
        <v>4</v>
      </c>
      <c r="T24" s="86">
        <v>2.4</v>
      </c>
      <c r="U24" s="65">
        <v>46071</v>
      </c>
      <c r="V24" s="69" t="s">
        <v>15</v>
      </c>
      <c r="W24" s="75" t="s">
        <v>15</v>
      </c>
      <c r="X24" s="60" t="s">
        <v>66</v>
      </c>
      <c r="Y24" s="60" t="s">
        <v>62</v>
      </c>
      <c r="Z24" s="60" t="s">
        <v>156</v>
      </c>
      <c r="AA24" s="60" t="s">
        <v>127</v>
      </c>
      <c r="AB24" s="60" t="s">
        <v>15</v>
      </c>
    </row>
    <row r="25" spans="3:28">
      <c r="C25" s="79"/>
      <c r="D25" s="79"/>
      <c r="E25" s="69" t="s">
        <v>78</v>
      </c>
      <c r="F25" s="69" t="s">
        <v>106</v>
      </c>
      <c r="G25" s="60" t="s">
        <v>108</v>
      </c>
      <c r="H25" s="59" t="s">
        <v>7</v>
      </c>
      <c r="I25" s="63">
        <v>0.16</v>
      </c>
      <c r="J25" s="95">
        <v>0.16000000008493576</v>
      </c>
      <c r="K25" s="64">
        <v>2500</v>
      </c>
      <c r="L25" s="96">
        <v>2500000</v>
      </c>
      <c r="M25" s="96">
        <v>2635934.3567249998</v>
      </c>
      <c r="N25" s="96">
        <v>2635934.355</v>
      </c>
      <c r="O25" s="66">
        <f t="shared" si="0"/>
        <v>1.2873366080750117E-2</v>
      </c>
      <c r="P25" s="78" t="s">
        <v>2</v>
      </c>
      <c r="Q25" s="62" t="s">
        <v>114</v>
      </c>
      <c r="R25" s="85" t="s">
        <v>15</v>
      </c>
      <c r="S25" s="62" t="s">
        <v>93</v>
      </c>
      <c r="T25" s="63" t="s">
        <v>15</v>
      </c>
      <c r="U25" s="65">
        <v>47224</v>
      </c>
      <c r="V25" s="63" t="s">
        <v>15</v>
      </c>
      <c r="W25" s="63" t="s">
        <v>15</v>
      </c>
      <c r="X25" s="60" t="s">
        <v>66</v>
      </c>
      <c r="Y25" s="60" t="s">
        <v>115</v>
      </c>
      <c r="Z25" s="60" t="s">
        <v>15</v>
      </c>
      <c r="AA25" s="60" t="s">
        <v>15</v>
      </c>
      <c r="AB25" s="60" t="s">
        <v>15</v>
      </c>
    </row>
    <row r="26" spans="3:28">
      <c r="C26" s="79"/>
      <c r="D26" s="57"/>
      <c r="E26" s="57"/>
      <c r="F26" s="57"/>
      <c r="G26" s="57"/>
      <c r="H26" s="57"/>
      <c r="I26" s="57"/>
      <c r="J26" s="57"/>
      <c r="K26" s="57"/>
      <c r="L26" s="64"/>
      <c r="M26" s="57"/>
      <c r="N26" s="57"/>
      <c r="O26" s="107"/>
      <c r="P26" s="57"/>
      <c r="Q26" s="100"/>
      <c r="R26" s="57"/>
      <c r="S26" s="57"/>
      <c r="T26" s="57"/>
      <c r="U26" s="57"/>
      <c r="V26" s="57"/>
      <c r="W26" s="57"/>
      <c r="X26" s="57"/>
      <c r="Y26" s="57"/>
      <c r="Z26" s="57"/>
      <c r="AA26" s="57"/>
    </row>
    <row r="27" spans="3:28">
      <c r="C27" s="79"/>
      <c r="D27" s="57"/>
      <c r="E27" s="69"/>
      <c r="F27" s="69"/>
      <c r="G27" s="60"/>
      <c r="H27" s="59"/>
      <c r="I27" s="63"/>
      <c r="J27" s="63"/>
      <c r="K27" s="64"/>
      <c r="L27" s="64"/>
      <c r="M27" s="57"/>
      <c r="N27" s="105"/>
      <c r="O27" s="66"/>
      <c r="P27" s="78"/>
      <c r="Q27" s="62"/>
      <c r="R27" s="63"/>
      <c r="S27" s="62"/>
      <c r="T27" s="86"/>
      <c r="U27" s="65"/>
      <c r="V27" s="69"/>
      <c r="W27" s="75"/>
      <c r="X27" s="60"/>
      <c r="Y27" s="60"/>
      <c r="Z27" s="60"/>
      <c r="AA27" s="57"/>
    </row>
    <row r="28" spans="3:28">
      <c r="C28" s="79"/>
      <c r="D28" s="79"/>
      <c r="E28" s="69" t="s">
        <v>92</v>
      </c>
      <c r="F28" s="69" t="s">
        <v>116</v>
      </c>
      <c r="G28" s="60" t="s">
        <v>15</v>
      </c>
      <c r="H28" s="59" t="s">
        <v>7</v>
      </c>
      <c r="I28" s="63">
        <v>0.3994094929817591</v>
      </c>
      <c r="J28" s="63">
        <v>0.3994094929817591</v>
      </c>
      <c r="K28" s="64" t="s">
        <v>15</v>
      </c>
      <c r="L28" s="96">
        <v>990970.35</v>
      </c>
      <c r="M28" s="96">
        <v>4391685.229997959</v>
      </c>
      <c r="N28" s="96">
        <v>4391685.229997959</v>
      </c>
      <c r="O28" s="66">
        <f t="shared" ref="O28:O33" si="1">N28/SUM($N:$N)</f>
        <v>2.1448095461841274E-2</v>
      </c>
      <c r="P28" s="62" t="s">
        <v>2</v>
      </c>
      <c r="Q28" s="62" t="s">
        <v>8</v>
      </c>
      <c r="R28" s="63" t="s">
        <v>15</v>
      </c>
      <c r="S28" s="62" t="s">
        <v>93</v>
      </c>
      <c r="T28" s="63" t="s">
        <v>15</v>
      </c>
      <c r="U28" s="65">
        <v>46844</v>
      </c>
      <c r="V28" s="63" t="s">
        <v>15</v>
      </c>
      <c r="W28" s="63" t="s">
        <v>15</v>
      </c>
      <c r="X28" s="60" t="s">
        <v>15</v>
      </c>
      <c r="Y28" s="63" t="s">
        <v>15</v>
      </c>
      <c r="Z28" s="63" t="s">
        <v>15</v>
      </c>
      <c r="AA28" s="63" t="s">
        <v>15</v>
      </c>
    </row>
    <row r="29" spans="3:28">
      <c r="C29" s="79"/>
      <c r="D29" s="79"/>
      <c r="E29" s="69" t="s">
        <v>11</v>
      </c>
      <c r="F29" s="69" t="s">
        <v>121</v>
      </c>
      <c r="G29" s="60" t="s">
        <v>15</v>
      </c>
      <c r="H29" s="59" t="s">
        <v>11</v>
      </c>
      <c r="I29" s="60" t="s">
        <v>15</v>
      </c>
      <c r="J29" s="60" t="s">
        <v>15</v>
      </c>
      <c r="K29" s="89" t="s">
        <v>15</v>
      </c>
      <c r="L29" s="106">
        <v>30398913.150000002</v>
      </c>
      <c r="M29" s="96">
        <v>30398913.150000002</v>
      </c>
      <c r="N29" s="96">
        <v>30398913.150000002</v>
      </c>
      <c r="O29" s="66">
        <f t="shared" si="1"/>
        <v>0.14846209530771062</v>
      </c>
      <c r="P29" s="62" t="s">
        <v>11</v>
      </c>
      <c r="Q29" s="69" t="s">
        <v>15</v>
      </c>
      <c r="R29" s="63" t="s">
        <v>15</v>
      </c>
      <c r="S29" s="69" t="s">
        <v>15</v>
      </c>
      <c r="T29" s="87" t="s">
        <v>15</v>
      </c>
      <c r="U29" s="69" t="s">
        <v>15</v>
      </c>
      <c r="V29" s="69" t="s">
        <v>15</v>
      </c>
      <c r="W29" s="62" t="s">
        <v>15</v>
      </c>
      <c r="X29" s="69" t="s">
        <v>15</v>
      </c>
      <c r="Y29" s="69" t="s">
        <v>15</v>
      </c>
      <c r="Z29" s="69" t="s">
        <v>15</v>
      </c>
      <c r="AA29" s="69" t="s">
        <v>15</v>
      </c>
    </row>
    <row r="30" spans="3:28">
      <c r="C30" s="79"/>
      <c r="D30" s="79"/>
      <c r="E30" s="69" t="s">
        <v>143</v>
      </c>
      <c r="F30" s="69" t="s">
        <v>144</v>
      </c>
      <c r="G30" s="60" t="s">
        <v>15</v>
      </c>
      <c r="H30" s="59" t="s">
        <v>3</v>
      </c>
      <c r="I30" s="63" t="s">
        <v>15</v>
      </c>
      <c r="J30" s="63" t="s">
        <v>15</v>
      </c>
      <c r="K30" s="64" t="s">
        <v>15</v>
      </c>
      <c r="L30" s="96">
        <v>2617758.15</v>
      </c>
      <c r="M30" s="96">
        <v>2617758.15</v>
      </c>
      <c r="N30" s="96">
        <v>2617758.15</v>
      </c>
      <c r="O30" s="66">
        <f t="shared" si="1"/>
        <v>1.2784597200569198E-2</v>
      </c>
      <c r="P30" s="78" t="s">
        <v>145</v>
      </c>
      <c r="Q30" s="62" t="s">
        <v>146</v>
      </c>
      <c r="R30" s="85" t="s">
        <v>15</v>
      </c>
      <c r="S30" s="62" t="s">
        <v>15</v>
      </c>
      <c r="T30" s="63" t="s">
        <v>15</v>
      </c>
      <c r="U30" s="65" t="s">
        <v>15</v>
      </c>
      <c r="V30" s="63" t="s">
        <v>15</v>
      </c>
      <c r="W30" s="63" t="s">
        <v>15</v>
      </c>
      <c r="X30" s="60" t="s">
        <v>15</v>
      </c>
      <c r="Y30" s="60" t="s">
        <v>15</v>
      </c>
      <c r="Z30" s="60" t="s">
        <v>15</v>
      </c>
      <c r="AA30" s="60" t="s">
        <v>15</v>
      </c>
    </row>
    <row r="31" spans="3:28">
      <c r="C31" s="57"/>
      <c r="D31" s="57"/>
      <c r="E31" s="69" t="s">
        <v>143</v>
      </c>
      <c r="F31" s="69" t="s">
        <v>149</v>
      </c>
      <c r="G31" s="60" t="s">
        <v>15</v>
      </c>
      <c r="H31" s="59" t="s">
        <v>59</v>
      </c>
      <c r="I31" s="63" t="s">
        <v>15</v>
      </c>
      <c r="J31" s="63" t="s">
        <v>15</v>
      </c>
      <c r="K31" s="64" t="s">
        <v>15</v>
      </c>
      <c r="L31" s="96">
        <v>183102.15</v>
      </c>
      <c r="M31" s="96">
        <v>183102.15</v>
      </c>
      <c r="N31" s="96">
        <v>183102.15</v>
      </c>
      <c r="O31" s="66">
        <f t="shared" si="1"/>
        <v>8.9423357704308988E-4</v>
      </c>
      <c r="P31" s="78" t="s">
        <v>145</v>
      </c>
      <c r="Q31" s="62" t="s">
        <v>146</v>
      </c>
      <c r="R31" s="85" t="s">
        <v>15</v>
      </c>
      <c r="S31" s="62" t="s">
        <v>15</v>
      </c>
      <c r="T31" s="63" t="s">
        <v>15</v>
      </c>
      <c r="U31" s="65" t="s">
        <v>15</v>
      </c>
      <c r="V31" s="63" t="s">
        <v>15</v>
      </c>
      <c r="W31" s="63" t="s">
        <v>15</v>
      </c>
      <c r="X31" s="60" t="s">
        <v>15</v>
      </c>
      <c r="Y31" s="60" t="s">
        <v>15</v>
      </c>
      <c r="Z31" s="60" t="s">
        <v>15</v>
      </c>
      <c r="AA31" s="60" t="s">
        <v>15</v>
      </c>
    </row>
    <row r="32" spans="3:28">
      <c r="C32" s="57"/>
      <c r="D32" s="57"/>
      <c r="E32" s="69" t="s">
        <v>143</v>
      </c>
      <c r="F32" s="69" t="s">
        <v>150</v>
      </c>
      <c r="G32" s="60" t="s">
        <v>15</v>
      </c>
      <c r="H32" s="59" t="s">
        <v>59</v>
      </c>
      <c r="I32" s="63" t="s">
        <v>15</v>
      </c>
      <c r="J32" s="63" t="s">
        <v>15</v>
      </c>
      <c r="K32" s="64" t="s">
        <v>15</v>
      </c>
      <c r="L32" s="96">
        <v>1231165.6199999999</v>
      </c>
      <c r="M32" s="96">
        <v>1231165.6199999999</v>
      </c>
      <c r="N32" s="96">
        <v>1231165.6199999999</v>
      </c>
      <c r="O32" s="66">
        <f t="shared" si="1"/>
        <v>6.0127619271814854E-3</v>
      </c>
      <c r="P32" s="78" t="s">
        <v>145</v>
      </c>
      <c r="Q32" s="62" t="s">
        <v>146</v>
      </c>
      <c r="R32" s="85" t="s">
        <v>15</v>
      </c>
      <c r="S32" s="62" t="s">
        <v>15</v>
      </c>
      <c r="T32" s="63" t="s">
        <v>15</v>
      </c>
      <c r="U32" s="65" t="s">
        <v>15</v>
      </c>
      <c r="V32" s="63" t="s">
        <v>15</v>
      </c>
      <c r="W32" s="63" t="s">
        <v>15</v>
      </c>
      <c r="X32" s="60" t="s">
        <v>15</v>
      </c>
      <c r="Y32" s="60" t="s">
        <v>15</v>
      </c>
      <c r="Z32" s="60" t="s">
        <v>15</v>
      </c>
      <c r="AA32" s="60" t="s">
        <v>15</v>
      </c>
    </row>
    <row r="33" spans="5:27">
      <c r="E33" s="104" t="s">
        <v>143</v>
      </c>
      <c r="F33" s="69" t="s">
        <v>151</v>
      </c>
      <c r="G33" s="60" t="s">
        <v>15</v>
      </c>
      <c r="H33" s="59" t="s">
        <v>3</v>
      </c>
      <c r="I33" s="63" t="s">
        <v>15</v>
      </c>
      <c r="J33" s="63" t="s">
        <v>15</v>
      </c>
      <c r="K33" s="64" t="s">
        <v>15</v>
      </c>
      <c r="L33" s="96">
        <v>661232</v>
      </c>
      <c r="M33" s="96">
        <v>661232</v>
      </c>
      <c r="N33" s="96">
        <v>661232</v>
      </c>
      <c r="O33" s="66">
        <f t="shared" si="1"/>
        <v>3.2293223024162003E-3</v>
      </c>
      <c r="P33" s="78" t="s">
        <v>145</v>
      </c>
      <c r="Q33" s="62" t="s">
        <v>146</v>
      </c>
      <c r="R33" s="85" t="s">
        <v>15</v>
      </c>
      <c r="S33" s="62" t="s">
        <v>15</v>
      </c>
      <c r="T33" s="63" t="s">
        <v>15</v>
      </c>
      <c r="U33" s="65" t="s">
        <v>15</v>
      </c>
      <c r="V33" s="63" t="s">
        <v>15</v>
      </c>
      <c r="W33" s="63" t="s">
        <v>15</v>
      </c>
      <c r="X33" s="60" t="s">
        <v>15</v>
      </c>
      <c r="Y33" s="60" t="s">
        <v>15</v>
      </c>
      <c r="Z33" s="60" t="s">
        <v>15</v>
      </c>
      <c r="AA33" s="60" t="s">
        <v>15</v>
      </c>
    </row>
    <row r="34" spans="5:27">
      <c r="E34" s="103"/>
    </row>
    <row r="35" spans="5:27">
      <c r="E35" s="80" t="s">
        <v>142</v>
      </c>
    </row>
    <row r="36" spans="5:27">
      <c r="E36" s="103" t="s">
        <v>155</v>
      </c>
    </row>
    <row r="37" spans="5:27">
      <c r="E37" s="103" t="s">
        <v>159</v>
      </c>
    </row>
    <row r="38" spans="5:27">
      <c r="L38"/>
    </row>
    <row r="39" spans="5:27">
      <c r="F39" s="57"/>
      <c r="G39" s="57"/>
      <c r="H39" s="57"/>
      <c r="I39" s="57"/>
      <c r="J39" s="57"/>
      <c r="K39" s="57"/>
      <c r="L39" s="76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</row>
    <row r="40" spans="5:27">
      <c r="F40" s="57"/>
      <c r="G40" s="57"/>
      <c r="H40" s="57"/>
      <c r="I40" s="57"/>
      <c r="J40" s="57"/>
      <c r="K40" s="57"/>
      <c r="L40" s="76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pans="5:27">
      <c r="E41" s="57"/>
      <c r="F41" s="57"/>
      <c r="G41" s="57"/>
      <c r="H41" s="57"/>
      <c r="I41" s="57"/>
      <c r="J41" s="57"/>
      <c r="K41" s="57"/>
      <c r="L41" s="76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pans="5:27">
      <c r="E42" s="57"/>
      <c r="F42" s="57"/>
      <c r="G42" s="57"/>
      <c r="H42" s="57"/>
      <c r="I42" s="57"/>
      <c r="J42" s="57"/>
      <c r="K42" s="57"/>
      <c r="L42" s="7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pans="5:27">
      <c r="E43" s="57"/>
      <c r="F43" s="57"/>
      <c r="G43" s="57"/>
      <c r="H43" s="57"/>
      <c r="I43" s="57"/>
      <c r="J43" s="57"/>
      <c r="K43" s="57"/>
      <c r="L43" s="7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pans="5:27">
      <c r="E44" s="57"/>
      <c r="F44" s="57"/>
      <c r="G44" s="57"/>
      <c r="H44" s="57"/>
      <c r="I44" s="57"/>
      <c r="J44" s="57"/>
      <c r="K44" s="57"/>
      <c r="L44" s="76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pans="5:27">
      <c r="E45" s="57"/>
      <c r="F45" s="57"/>
      <c r="G45" s="57"/>
      <c r="H45" s="57"/>
      <c r="I45" s="57"/>
      <c r="J45" s="57"/>
      <c r="K45" s="57"/>
      <c r="L45" s="76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pans="5:27">
      <c r="E46" s="57"/>
      <c r="F46" s="57"/>
      <c r="G46" s="57"/>
      <c r="H46" s="57"/>
      <c r="I46" s="57"/>
      <c r="J46" s="57"/>
      <c r="K46" s="57"/>
      <c r="L46" s="76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pans="5:27">
      <c r="E47" s="57"/>
      <c r="F47" s="57"/>
      <c r="G47" s="57"/>
      <c r="H47" s="57"/>
      <c r="I47" s="57"/>
      <c r="J47" s="57"/>
      <c r="K47" s="57"/>
      <c r="L47" s="76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pans="5:27">
      <c r="E48" s="57"/>
      <c r="F48" s="57"/>
      <c r="G48" s="57"/>
      <c r="H48" s="57"/>
      <c r="I48" s="57"/>
      <c r="J48" s="57"/>
      <c r="K48" s="57"/>
      <c r="L48" s="76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</row>
    <row r="49" spans="12:12">
      <c r="L49" s="76"/>
    </row>
    <row r="50" spans="12:12">
      <c r="L50" s="76"/>
    </row>
    <row r="51" spans="12:12">
      <c r="L51" s="76"/>
    </row>
    <row r="52" spans="12:12">
      <c r="L52" s="76"/>
    </row>
    <row r="53" spans="12:12">
      <c r="L53" s="76"/>
    </row>
    <row r="54" spans="12:12">
      <c r="L54" s="76"/>
    </row>
    <row r="55" spans="12:12">
      <c r="L55" s="76"/>
    </row>
    <row r="56" spans="12:12">
      <c r="L56" s="76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AD26"/>
  <sheetViews>
    <sheetView showGridLines="0" zoomScale="115" zoomScaleNormal="115" workbookViewId="0">
      <selection activeCell="F4" sqref="F4"/>
    </sheetView>
  </sheetViews>
  <sheetFormatPr defaultColWidth="9.1796875" defaultRowHeight="14.5"/>
  <cols>
    <col min="1" max="1" width="6.7265625" style="4" customWidth="1"/>
    <col min="2" max="2" width="5.453125" style="4" customWidth="1"/>
    <col min="3" max="3" width="6.7265625" style="4" customWidth="1"/>
    <col min="4" max="4" width="2.1796875" style="4" customWidth="1"/>
    <col min="5" max="5" width="1.453125" style="4" customWidth="1"/>
    <col min="6" max="6" width="26.7265625" style="4" bestFit="1" customWidth="1"/>
    <col min="7" max="7" width="10.1796875" style="4" customWidth="1"/>
    <col min="8" max="8" width="10.54296875" style="4" customWidth="1"/>
    <col min="9" max="9" width="10.453125" style="4" customWidth="1"/>
    <col min="10" max="11" width="10.1796875" style="4" customWidth="1"/>
    <col min="12" max="12" width="9.54296875" style="4" customWidth="1"/>
    <col min="13" max="14" width="10.453125" style="4" customWidth="1"/>
    <col min="15" max="15" width="10" style="4" customWidth="1"/>
    <col min="16" max="17" width="10.1796875" style="4" customWidth="1"/>
    <col min="18" max="18" width="10.1796875" style="58" customWidth="1"/>
    <col min="19" max="19" width="10" style="4" customWidth="1"/>
    <col min="20" max="20" width="10.54296875" style="58" customWidth="1"/>
    <col min="21" max="21" width="9.81640625" style="58" customWidth="1"/>
    <col min="22" max="22" width="9.54296875" style="4" bestFit="1" customWidth="1"/>
    <col min="23" max="23" width="11" style="4" bestFit="1" customWidth="1"/>
    <col min="24" max="24" width="17.453125" style="4" customWidth="1"/>
    <col min="25" max="25" width="9.1796875" style="4" bestFit="1" customWidth="1"/>
    <col min="26" max="27" width="9.453125" style="4" bestFit="1" customWidth="1"/>
    <col min="28" max="29" width="9.54296875" style="4" bestFit="1" customWidth="1"/>
    <col min="30" max="30" width="9.7265625" style="4" bestFit="1" customWidth="1"/>
    <col min="31" max="16384" width="9.1796875" style="4"/>
  </cols>
  <sheetData>
    <row r="4" spans="6:26">
      <c r="Y4" s="44"/>
    </row>
    <row r="6" spans="6:26">
      <c r="S6" s="111"/>
      <c r="T6" s="114"/>
    </row>
    <row r="8" spans="6:26" s="8" customFormat="1" ht="27">
      <c r="F8" s="54" t="s">
        <v>31</v>
      </c>
      <c r="G8" s="90">
        <v>45292</v>
      </c>
      <c r="H8" s="91">
        <f t="shared" ref="H8:U8" si="0">EDATE(G8,1)</f>
        <v>45323</v>
      </c>
      <c r="I8" s="91">
        <f t="shared" si="0"/>
        <v>45352</v>
      </c>
      <c r="J8" s="91">
        <f t="shared" si="0"/>
        <v>45383</v>
      </c>
      <c r="K8" s="91">
        <f t="shared" si="0"/>
        <v>45413</v>
      </c>
      <c r="L8" s="91">
        <f t="shared" si="0"/>
        <v>45444</v>
      </c>
      <c r="M8" s="91">
        <f t="shared" si="0"/>
        <v>45474</v>
      </c>
      <c r="N8" s="91">
        <f t="shared" si="0"/>
        <v>45505</v>
      </c>
      <c r="O8" s="91">
        <f t="shared" si="0"/>
        <v>45536</v>
      </c>
      <c r="P8" s="91">
        <f t="shared" si="0"/>
        <v>45566</v>
      </c>
      <c r="Q8" s="91">
        <f t="shared" si="0"/>
        <v>45597</v>
      </c>
      <c r="R8" s="91">
        <f t="shared" si="0"/>
        <v>45627</v>
      </c>
      <c r="S8" s="91">
        <f t="shared" si="0"/>
        <v>45658</v>
      </c>
      <c r="T8" s="91">
        <f t="shared" si="0"/>
        <v>45689</v>
      </c>
      <c r="U8" s="91">
        <f t="shared" si="0"/>
        <v>45717</v>
      </c>
      <c r="V8" s="56"/>
      <c r="W8" s="55" t="s">
        <v>43</v>
      </c>
      <c r="X8" s="55" t="s">
        <v>148</v>
      </c>
      <c r="Y8" s="55" t="s">
        <v>32</v>
      </c>
    </row>
    <row r="9" spans="6:26">
      <c r="F9" s="26" t="s">
        <v>33</v>
      </c>
      <c r="G9" s="27">
        <v>971379</v>
      </c>
      <c r="H9" s="27">
        <v>570572</v>
      </c>
      <c r="I9" s="27">
        <v>606286</v>
      </c>
      <c r="J9" s="27">
        <v>512118</v>
      </c>
      <c r="K9" s="27">
        <v>249266.91000000399</v>
      </c>
      <c r="L9" s="27">
        <v>153014</v>
      </c>
      <c r="M9" s="27">
        <v>158748</v>
      </c>
      <c r="N9" s="27">
        <v>136575</v>
      </c>
      <c r="O9" s="27">
        <v>93817</v>
      </c>
      <c r="P9" s="27">
        <v>89711</v>
      </c>
      <c r="Q9" s="27">
        <v>103113</v>
      </c>
      <c r="R9" s="27">
        <v>161478.909999998</v>
      </c>
      <c r="S9" s="27">
        <v>226619</v>
      </c>
      <c r="T9" s="27">
        <v>237272.83999999985</v>
      </c>
      <c r="U9" s="27">
        <v>250974.6099999994</v>
      </c>
      <c r="W9" s="27">
        <f>SUM(G9:U9)</f>
        <v>4520945.2700000014</v>
      </c>
      <c r="X9" s="27">
        <f>SUM(H9:U9)</f>
        <v>3549566.2700000009</v>
      </c>
      <c r="Y9" s="27">
        <f>SUM(P9:U9)</f>
        <v>1069169.3599999973</v>
      </c>
      <c r="Z9" s="40"/>
    </row>
    <row r="10" spans="6:26">
      <c r="F10" s="26" t="s">
        <v>34</v>
      </c>
      <c r="G10" s="27">
        <v>40889</v>
      </c>
      <c r="H10" s="27">
        <v>1238092</v>
      </c>
      <c r="I10" s="27">
        <v>1468936</v>
      </c>
      <c r="J10" s="27">
        <v>1714469</v>
      </c>
      <c r="K10" s="27">
        <v>1484398.88551162</v>
      </c>
      <c r="L10" s="27">
        <v>2086707</v>
      </c>
      <c r="M10" s="27">
        <v>1995144</v>
      </c>
      <c r="N10" s="27">
        <v>1956615</v>
      </c>
      <c r="O10" s="27">
        <v>2207497</v>
      </c>
      <c r="P10" s="27">
        <v>1637337</v>
      </c>
      <c r="Q10" s="27">
        <v>2140037</v>
      </c>
      <c r="R10" s="27">
        <v>2223409.0213799402</v>
      </c>
      <c r="S10" s="27">
        <v>2108769</v>
      </c>
      <c r="T10" s="27">
        <v>2213819</v>
      </c>
      <c r="U10" s="27">
        <v>1564484.3577819006</v>
      </c>
      <c r="W10" s="27">
        <f>SUM(G10:U10)</f>
        <v>26080603.264673464</v>
      </c>
      <c r="X10" s="27">
        <f>SUM(H10:U10)</f>
        <v>26039714.264673464</v>
      </c>
      <c r="Y10" s="27">
        <f>SUM(P10:U10)</f>
        <v>11887855.37916184</v>
      </c>
      <c r="Z10" s="40"/>
    </row>
    <row r="11" spans="6:26">
      <c r="F11" s="26" t="s">
        <v>35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125000</v>
      </c>
      <c r="M11" s="28">
        <v>0</v>
      </c>
      <c r="N11" s="28">
        <v>125032</v>
      </c>
      <c r="O11" s="28">
        <v>41483</v>
      </c>
      <c r="P11" s="28">
        <v>103670</v>
      </c>
      <c r="Q11" s="28">
        <v>23568</v>
      </c>
      <c r="R11" s="70">
        <v>0</v>
      </c>
      <c r="S11" s="28">
        <v>0</v>
      </c>
      <c r="T11" s="70">
        <v>17670.369999997318</v>
      </c>
      <c r="U11" s="70">
        <v>44876.210550671443</v>
      </c>
      <c r="W11" s="27">
        <f>SUM(G11:U11)</f>
        <v>481299.58055066876</v>
      </c>
      <c r="X11" s="27">
        <f>SUM(H11:U11)</f>
        <v>481299.58055066876</v>
      </c>
      <c r="Y11" s="27">
        <f>SUM(P11:U11)</f>
        <v>189784.58055066876</v>
      </c>
      <c r="Z11" s="40"/>
    </row>
    <row r="12" spans="6:26">
      <c r="F12" s="26" t="s">
        <v>36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3031</v>
      </c>
      <c r="R12" s="70">
        <v>50815</v>
      </c>
      <c r="S12" s="28">
        <v>50815</v>
      </c>
      <c r="T12" s="70">
        <v>63503</v>
      </c>
      <c r="U12" s="70">
        <v>61034.58</v>
      </c>
      <c r="W12" s="27">
        <f>SUM(G12:U12)</f>
        <v>229198.58000000002</v>
      </c>
      <c r="X12" s="27">
        <f>SUM(H12:U12)</f>
        <v>229198.58000000002</v>
      </c>
      <c r="Y12" s="27">
        <f>SUM(P12:U12)</f>
        <v>229198.58000000002</v>
      </c>
      <c r="Z12" s="40"/>
    </row>
    <row r="13" spans="6:26">
      <c r="F13" s="31" t="s">
        <v>37</v>
      </c>
      <c r="G13" s="32">
        <f t="shared" ref="G13:U13" si="1">SUM(G9:G12)</f>
        <v>1012268</v>
      </c>
      <c r="H13" s="32">
        <f t="shared" si="1"/>
        <v>1808664</v>
      </c>
      <c r="I13" s="32">
        <f t="shared" si="1"/>
        <v>2075222</v>
      </c>
      <c r="J13" s="32">
        <f t="shared" si="1"/>
        <v>2226587</v>
      </c>
      <c r="K13" s="32">
        <f t="shared" si="1"/>
        <v>1733665.7955116238</v>
      </c>
      <c r="L13" s="32">
        <f t="shared" si="1"/>
        <v>2364721</v>
      </c>
      <c r="M13" s="32">
        <f t="shared" si="1"/>
        <v>2153892</v>
      </c>
      <c r="N13" s="32">
        <f t="shared" si="1"/>
        <v>2218222</v>
      </c>
      <c r="O13" s="32">
        <f t="shared" si="1"/>
        <v>2342797</v>
      </c>
      <c r="P13" s="32">
        <f t="shared" si="1"/>
        <v>1830718</v>
      </c>
      <c r="Q13" s="32">
        <f t="shared" si="1"/>
        <v>2269749</v>
      </c>
      <c r="R13" s="32">
        <f t="shared" si="1"/>
        <v>2435702.931379938</v>
      </c>
      <c r="S13" s="32">
        <f t="shared" si="1"/>
        <v>2386203</v>
      </c>
      <c r="T13" s="32">
        <f t="shared" si="1"/>
        <v>2532265.2099999972</v>
      </c>
      <c r="U13" s="32">
        <f t="shared" si="1"/>
        <v>1921369.7583325715</v>
      </c>
      <c r="W13" s="50">
        <f>SUM(G13:U13)</f>
        <v>31312046.695224132</v>
      </c>
      <c r="X13" s="50">
        <f>SUM(H13:U13)</f>
        <v>30299778.695224132</v>
      </c>
      <c r="Y13" s="50">
        <f>SUM(P13:U13)</f>
        <v>13376007.899712507</v>
      </c>
      <c r="Z13" s="40"/>
    </row>
    <row r="14" spans="6:26" ht="9.75" customHeight="1">
      <c r="W14" s="27"/>
      <c r="X14" s="27"/>
      <c r="Y14" s="27"/>
    </row>
    <row r="15" spans="6:26">
      <c r="F15" s="26" t="s">
        <v>38</v>
      </c>
      <c r="G15" s="29">
        <v>-9889</v>
      </c>
      <c r="H15" s="29">
        <v>-231984</v>
      </c>
      <c r="I15" s="29">
        <v>-207282</v>
      </c>
      <c r="J15" s="29">
        <v>-217173</v>
      </c>
      <c r="K15" s="29">
        <v>-271817.36</v>
      </c>
      <c r="L15" s="29">
        <v>-220602</v>
      </c>
      <c r="M15" s="29">
        <v>-215132</v>
      </c>
      <c r="N15" s="29">
        <v>-268700</v>
      </c>
      <c r="O15" s="29">
        <v>-240360</v>
      </c>
      <c r="P15" s="29">
        <v>-229945</v>
      </c>
      <c r="Q15" s="29">
        <v>-245833</v>
      </c>
      <c r="R15" s="71">
        <v>-204210.42</v>
      </c>
      <c r="S15" s="29">
        <v>-229142</v>
      </c>
      <c r="T15" s="71">
        <v>-233064</v>
      </c>
      <c r="U15" s="71">
        <v>-213339.08</v>
      </c>
      <c r="W15" s="27">
        <f>SUM(G15:U15)</f>
        <v>-3238472.86</v>
      </c>
      <c r="X15" s="27">
        <f>SUM(H15:U15)</f>
        <v>-3228583.86</v>
      </c>
      <c r="Y15" s="27">
        <f>SUM(P15:U15)</f>
        <v>-1355533.5</v>
      </c>
      <c r="Z15" s="40"/>
    </row>
    <row r="16" spans="6:26">
      <c r="F16" s="33" t="s">
        <v>39</v>
      </c>
      <c r="G16" s="34">
        <f t="shared" ref="G16:U16" si="2">G15</f>
        <v>-9889</v>
      </c>
      <c r="H16" s="34">
        <f t="shared" si="2"/>
        <v>-231984</v>
      </c>
      <c r="I16" s="34">
        <f t="shared" si="2"/>
        <v>-207282</v>
      </c>
      <c r="J16" s="34">
        <f t="shared" si="2"/>
        <v>-217173</v>
      </c>
      <c r="K16" s="34">
        <f t="shared" si="2"/>
        <v>-271817.36</v>
      </c>
      <c r="L16" s="34">
        <f t="shared" si="2"/>
        <v>-220602</v>
      </c>
      <c r="M16" s="34">
        <f t="shared" si="2"/>
        <v>-215132</v>
      </c>
      <c r="N16" s="34">
        <f t="shared" si="2"/>
        <v>-268700</v>
      </c>
      <c r="O16" s="34">
        <f t="shared" si="2"/>
        <v>-240360</v>
      </c>
      <c r="P16" s="34">
        <f t="shared" si="2"/>
        <v>-229945</v>
      </c>
      <c r="Q16" s="34">
        <f t="shared" si="2"/>
        <v>-245833</v>
      </c>
      <c r="R16" s="34">
        <f t="shared" si="2"/>
        <v>-204210.42</v>
      </c>
      <c r="S16" s="34">
        <f t="shared" si="2"/>
        <v>-229142</v>
      </c>
      <c r="T16" s="34">
        <f t="shared" si="2"/>
        <v>-233064</v>
      </c>
      <c r="U16" s="34">
        <f t="shared" si="2"/>
        <v>-213339.08</v>
      </c>
      <c r="W16" s="50">
        <f>SUM(G16:U16)</f>
        <v>-3238472.86</v>
      </c>
      <c r="X16" s="50">
        <f>SUM(H16:U16)</f>
        <v>-3228583.86</v>
      </c>
      <c r="Y16" s="50">
        <f>SUM(P16:U16)</f>
        <v>-1355533.5</v>
      </c>
      <c r="Z16" s="40"/>
    </row>
    <row r="17" spans="6:30">
      <c r="F17" s="33" t="s">
        <v>40</v>
      </c>
      <c r="G17" s="34">
        <f t="shared" ref="G17:M17" si="3">SUM(G16,G13)</f>
        <v>1002379</v>
      </c>
      <c r="H17" s="34">
        <f t="shared" si="3"/>
        <v>1576680</v>
      </c>
      <c r="I17" s="34">
        <f t="shared" si="3"/>
        <v>1867940</v>
      </c>
      <c r="J17" s="34">
        <f t="shared" si="3"/>
        <v>2009414</v>
      </c>
      <c r="K17" s="34">
        <f t="shared" si="3"/>
        <v>1461848.435511624</v>
      </c>
      <c r="L17" s="34">
        <f t="shared" si="3"/>
        <v>2144119</v>
      </c>
      <c r="M17" s="34">
        <f t="shared" si="3"/>
        <v>1938760</v>
      </c>
      <c r="N17" s="34">
        <f t="shared" ref="N17:U17" si="4">SUM(N13,N16)</f>
        <v>1949522</v>
      </c>
      <c r="O17" s="34">
        <f t="shared" si="4"/>
        <v>2102437</v>
      </c>
      <c r="P17" s="34">
        <f t="shared" si="4"/>
        <v>1600773</v>
      </c>
      <c r="Q17" s="34">
        <f t="shared" si="4"/>
        <v>2023916</v>
      </c>
      <c r="R17" s="34">
        <f t="shared" si="4"/>
        <v>2231492.5113799381</v>
      </c>
      <c r="S17" s="34">
        <f t="shared" si="4"/>
        <v>2157061</v>
      </c>
      <c r="T17" s="34">
        <f t="shared" si="4"/>
        <v>2299201.2099999972</v>
      </c>
      <c r="U17" s="34">
        <f t="shared" si="4"/>
        <v>1708030.6783325714</v>
      </c>
      <c r="W17" s="50">
        <f>SUM(G17:U17)</f>
        <v>28073573.835224133</v>
      </c>
      <c r="X17" s="50">
        <f>SUM(H17:U17)</f>
        <v>27071194.835224133</v>
      </c>
      <c r="Y17" s="50">
        <f>SUM(P17:U17)</f>
        <v>12020474.399712507</v>
      </c>
      <c r="Z17" s="40"/>
    </row>
    <row r="18" spans="6:30" ht="18.649999999999999" customHeight="1"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</row>
    <row r="19" spans="6:30" s="112" customFormat="1" ht="18.649999999999999" customHeight="1"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</row>
    <row r="20" spans="6:30">
      <c r="F20" s="33" t="s">
        <v>41</v>
      </c>
      <c r="G20" s="32">
        <v>966130</v>
      </c>
      <c r="H20" s="32">
        <v>1576591</v>
      </c>
      <c r="I20" s="32">
        <v>1807823</v>
      </c>
      <c r="J20" s="32">
        <v>1807823</v>
      </c>
      <c r="K20" s="32">
        <v>1807823</v>
      </c>
      <c r="L20" s="32">
        <v>1807823</v>
      </c>
      <c r="M20" s="32">
        <v>1807823</v>
      </c>
      <c r="N20" s="32">
        <v>1807824</v>
      </c>
      <c r="O20" s="32">
        <v>1807824</v>
      </c>
      <c r="P20" s="32">
        <v>1807824</v>
      </c>
      <c r="Q20" s="32">
        <v>1997015</v>
      </c>
      <c r="R20" s="32">
        <v>1997015</v>
      </c>
      <c r="S20" s="32">
        <v>1997015</v>
      </c>
      <c r="T20" s="32">
        <v>2102121</v>
      </c>
      <c r="U20" s="32">
        <v>2102121</v>
      </c>
      <c r="W20" s="50">
        <f>SUM(G20:U20)</f>
        <v>27200595</v>
      </c>
      <c r="X20" s="50">
        <f>SUM(H20:U20)</f>
        <v>26234465</v>
      </c>
      <c r="Y20" s="50">
        <f>SUM(P20:U20)</f>
        <v>12003111</v>
      </c>
      <c r="Z20" s="40"/>
    </row>
    <row r="21" spans="6:30">
      <c r="F21" s="35" t="s">
        <v>42</v>
      </c>
      <c r="G21" s="36">
        <v>21021208</v>
      </c>
      <c r="H21" s="36">
        <v>21021208</v>
      </c>
      <c r="I21" s="36">
        <v>21021208</v>
      </c>
      <c r="J21" s="36">
        <v>21021208</v>
      </c>
      <c r="K21" s="36">
        <v>21021208</v>
      </c>
      <c r="L21" s="36">
        <v>21021208</v>
      </c>
      <c r="M21" s="36">
        <v>21021208</v>
      </c>
      <c r="N21" s="36">
        <v>21021208</v>
      </c>
      <c r="O21" s="36">
        <v>21021208</v>
      </c>
      <c r="P21" s="36">
        <v>21021208</v>
      </c>
      <c r="Q21" s="36">
        <v>21021208</v>
      </c>
      <c r="R21" s="36">
        <v>21021208</v>
      </c>
      <c r="S21" s="36">
        <v>21021208</v>
      </c>
      <c r="T21" s="36">
        <v>21021208</v>
      </c>
      <c r="U21" s="36">
        <v>21021208</v>
      </c>
      <c r="W21" s="36">
        <v>21021208</v>
      </c>
      <c r="X21" s="36">
        <f>W21</f>
        <v>21021208</v>
      </c>
      <c r="Y21" s="36">
        <v>21021208</v>
      </c>
    </row>
    <row r="22" spans="6:30">
      <c r="F22" s="30" t="s">
        <v>138</v>
      </c>
      <c r="G22" s="47">
        <f t="shared" ref="G22:U22" si="5">G20/G21</f>
        <v>4.595977548007707E-2</v>
      </c>
      <c r="H22" s="47">
        <f t="shared" si="5"/>
        <v>7.5000019028402171E-2</v>
      </c>
      <c r="I22" s="47">
        <f t="shared" si="5"/>
        <v>8.5999957756947173E-2</v>
      </c>
      <c r="J22" s="47">
        <f t="shared" si="5"/>
        <v>8.5999957756947173E-2</v>
      </c>
      <c r="K22" s="47">
        <f t="shared" si="5"/>
        <v>8.5999957756947173E-2</v>
      </c>
      <c r="L22" s="47">
        <f t="shared" si="5"/>
        <v>8.5999957756947173E-2</v>
      </c>
      <c r="M22" s="47">
        <f t="shared" si="5"/>
        <v>8.5999957756947173E-2</v>
      </c>
      <c r="N22" s="47">
        <f t="shared" si="5"/>
        <v>8.6000005327952614E-2</v>
      </c>
      <c r="O22" s="47">
        <f t="shared" si="5"/>
        <v>8.6000005327952614E-2</v>
      </c>
      <c r="P22" s="47">
        <f t="shared" si="5"/>
        <v>8.6000005327952614E-2</v>
      </c>
      <c r="Q22" s="47">
        <f t="shared" si="5"/>
        <v>9.50000114170413E-2</v>
      </c>
      <c r="R22" s="47">
        <f t="shared" si="5"/>
        <v>9.50000114170413E-2</v>
      </c>
      <c r="S22" s="47">
        <f t="shared" si="5"/>
        <v>9.50000114170413E-2</v>
      </c>
      <c r="T22" s="47">
        <f t="shared" si="5"/>
        <v>0.10000000951420109</v>
      </c>
      <c r="U22" s="47">
        <f t="shared" si="5"/>
        <v>0.10000000951420109</v>
      </c>
      <c r="W22" s="99">
        <f>AVERAGE($G$22:$U$22)</f>
        <v>8.6263976837106598E-2</v>
      </c>
      <c r="X22" s="99">
        <f>AVERAGE($H$22:$U$22)</f>
        <v>8.9142848362608704E-2</v>
      </c>
      <c r="Y22" s="99">
        <f>AVERAGE($P$22:$U$22)</f>
        <v>9.5166676434579781E-2</v>
      </c>
    </row>
    <row r="24" spans="6:30" s="25" customFormat="1">
      <c r="F24" s="33" t="s">
        <v>44</v>
      </c>
      <c r="G24" s="37">
        <f>209449739.44/G21</f>
        <v>9.9637346930775816</v>
      </c>
      <c r="H24" s="37">
        <v>9.9109945579721206</v>
      </c>
      <c r="I24" s="37">
        <v>9.8356521233223138</v>
      </c>
      <c r="J24" s="37">
        <v>9.6880027908006046</v>
      </c>
      <c r="K24" s="37">
        <v>9.6441522176080454</v>
      </c>
      <c r="L24" s="37">
        <v>9.86</v>
      </c>
      <c r="M24" s="37">
        <v>9.9477290125286792</v>
      </c>
      <c r="N24" s="37">
        <v>9.9551319399999993</v>
      </c>
      <c r="O24" s="37">
        <v>9.9019579899999997</v>
      </c>
      <c r="P24" s="37">
        <v>9.8608864809291639</v>
      </c>
      <c r="Q24" s="37">
        <v>9.8054486835390247</v>
      </c>
      <c r="R24" s="37">
        <v>9.7100000000000009</v>
      </c>
      <c r="S24" s="37">
        <v>9.77</v>
      </c>
      <c r="T24" s="37">
        <v>9.73</v>
      </c>
      <c r="U24" s="37">
        <v>9.7294974242203391</v>
      </c>
      <c r="W24" s="49"/>
      <c r="X24" s="49"/>
      <c r="Y24" s="4"/>
    </row>
    <row r="25" spans="6:30">
      <c r="W25" s="49"/>
      <c r="X25" s="49"/>
    </row>
    <row r="26" spans="6:30">
      <c r="W26" s="72"/>
      <c r="X26" s="72"/>
      <c r="Y26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 W14 W21 X13:X14 X15:X17 X20 Y14 Y21 Y9:Y13 Y22 Y15:Y17 Y20 X9:X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Vitor Kenji Souza Hongo</cp:lastModifiedBy>
  <cp:lastPrinted>2024-06-14T17:26:38Z</cp:lastPrinted>
  <dcterms:created xsi:type="dcterms:W3CDTF">2023-10-11T17:28:22Z</dcterms:created>
  <dcterms:modified xsi:type="dcterms:W3CDTF">2025-04-14T20:12:29Z</dcterms:modified>
</cp:coreProperties>
</file>