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SSET\14. Documentos dos Fundos\FII Credito\Relatório Gerencial\Support\"/>
    </mc:Choice>
  </mc:AlternateContent>
  <bookViews>
    <workbookView xWindow="0" yWindow="0" windowWidth="21570" windowHeight="10155" activeTab="1"/>
  </bookViews>
  <sheets>
    <sheet name="Resumo" sheetId="2" r:id="rId1"/>
    <sheet name="Detalhamento - CRIs" sheetId="3" r:id="rId2"/>
    <sheet name="DRE" sheetId="4" r:id="rId3"/>
  </sheets>
  <definedNames>
    <definedName name="_xlnm._FilterDatabase" localSheetId="1" hidden="1">'Detalhamento - CRIs'!$E$7:$X$30</definedName>
  </definedNames>
  <calcPr calcId="162913" calcMode="manual"/>
</workbook>
</file>

<file path=xl/calcChain.xml><?xml version="1.0" encoding="utf-8"?>
<calcChain xmlns="http://schemas.openxmlformats.org/spreadsheetml/2006/main">
  <c r="C12" i="2" l="1"/>
  <c r="L12" i="2"/>
  <c r="N12" i="2"/>
  <c r="C18" i="2"/>
  <c r="O8" i="3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E27" i="3"/>
  <c r="E28" i="3" s="1"/>
  <c r="E29" i="3" s="1"/>
  <c r="E30" i="3" s="1"/>
  <c r="O27" i="3"/>
  <c r="O28" i="3"/>
  <c r="O29" i="3"/>
  <c r="O30" i="3"/>
  <c r="AH8" i="4"/>
  <c r="AI8" i="4" s="1"/>
  <c r="AJ8" i="4" s="1"/>
  <c r="AL9" i="4"/>
  <c r="AM9" i="4"/>
  <c r="AN9" i="4"/>
  <c r="AL10" i="4"/>
  <c r="AM10" i="4"/>
  <c r="AN10" i="4"/>
  <c r="AL11" i="4"/>
  <c r="AM11" i="4"/>
  <c r="AN11" i="4"/>
  <c r="AL12" i="4"/>
  <c r="AM12" i="4"/>
  <c r="AN12" i="4"/>
  <c r="G13" i="4"/>
  <c r="H13" i="4"/>
  <c r="I13" i="4"/>
  <c r="J13" i="4"/>
  <c r="K13" i="4"/>
  <c r="K17" i="4" s="1"/>
  <c r="L13" i="4"/>
  <c r="M13" i="4"/>
  <c r="N13" i="4"/>
  <c r="O13" i="4"/>
  <c r="P13" i="4"/>
  <c r="Q13" i="4"/>
  <c r="R13" i="4"/>
  <c r="S13" i="4"/>
  <c r="S17" i="4" s="1"/>
  <c r="T13" i="4"/>
  <c r="U13" i="4"/>
  <c r="U17" i="4" s="1"/>
  <c r="V13" i="4"/>
  <c r="W13" i="4"/>
  <c r="X13" i="4"/>
  <c r="Y13" i="4"/>
  <c r="Z13" i="4"/>
  <c r="AA13" i="4"/>
  <c r="AA17" i="4" s="1"/>
  <c r="AB13" i="4"/>
  <c r="AC13" i="4"/>
  <c r="AC17" i="4" s="1"/>
  <c r="AD13" i="4"/>
  <c r="AE13" i="4"/>
  <c r="AF13" i="4"/>
  <c r="AG13" i="4"/>
  <c r="AH13" i="4"/>
  <c r="AI13" i="4"/>
  <c r="AI17" i="4" s="1"/>
  <c r="AJ13" i="4"/>
  <c r="AL15" i="4"/>
  <c r="AM15" i="4"/>
  <c r="AN15" i="4"/>
  <c r="G16" i="4"/>
  <c r="H16" i="4"/>
  <c r="I16" i="4"/>
  <c r="I17" i="4" s="1"/>
  <c r="J16" i="4"/>
  <c r="K16" i="4"/>
  <c r="L16" i="4"/>
  <c r="M16" i="4"/>
  <c r="N16" i="4"/>
  <c r="O16" i="4"/>
  <c r="P16" i="4"/>
  <c r="Q16" i="4"/>
  <c r="Q17" i="4" s="1"/>
  <c r="R16" i="4"/>
  <c r="S16" i="4"/>
  <c r="T16" i="4"/>
  <c r="U16" i="4"/>
  <c r="V16" i="4"/>
  <c r="W16" i="4"/>
  <c r="W17" i="4" s="1"/>
  <c r="X16" i="4"/>
  <c r="Y16" i="4"/>
  <c r="Y17" i="4" s="1"/>
  <c r="Z16" i="4"/>
  <c r="AA16" i="4"/>
  <c r="AB16" i="4"/>
  <c r="AB17" i="4" s="1"/>
  <c r="AC16" i="4"/>
  <c r="AD16" i="4"/>
  <c r="AE16" i="4"/>
  <c r="AE17" i="4" s="1"/>
  <c r="AF16" i="4"/>
  <c r="AG16" i="4"/>
  <c r="AG17" i="4" s="1"/>
  <c r="AH16" i="4"/>
  <c r="AI16" i="4"/>
  <c r="AJ16" i="4"/>
  <c r="AJ17" i="4" s="1"/>
  <c r="H17" i="4"/>
  <c r="L17" i="4"/>
  <c r="N17" i="4"/>
  <c r="P17" i="4"/>
  <c r="T17" i="4"/>
  <c r="V17" i="4"/>
  <c r="X17" i="4"/>
  <c r="AD17" i="4"/>
  <c r="AF17" i="4"/>
  <c r="AL19" i="4"/>
  <c r="AM19" i="4"/>
  <c r="AN19" i="4"/>
  <c r="AL20" i="4"/>
  <c r="AM20" i="4"/>
  <c r="AN20" i="4"/>
  <c r="AL21" i="4"/>
  <c r="AM21" i="4"/>
  <c r="AN21" i="4"/>
  <c r="AJ23" i="4"/>
  <c r="J9" i="2" s="1"/>
  <c r="AH17" i="4" l="1"/>
  <c r="R17" i="4"/>
  <c r="AM16" i="4"/>
  <c r="AL16" i="4"/>
  <c r="AN13" i="4"/>
  <c r="Z17" i="4"/>
  <c r="AN16" i="4"/>
  <c r="J17" i="4"/>
  <c r="M17" i="4"/>
  <c r="L9" i="2"/>
  <c r="AN17" i="4"/>
  <c r="AM13" i="4"/>
  <c r="AL13" i="4"/>
  <c r="O17" i="4"/>
  <c r="AM17" i="4" s="1"/>
  <c r="G17" i="4"/>
  <c r="AL17" i="4" l="1"/>
</calcChain>
</file>

<file path=xl/sharedStrings.xml><?xml version="1.0" encoding="utf-8"?>
<sst xmlns="http://schemas.openxmlformats.org/spreadsheetml/2006/main" count="303" uniqueCount="134">
  <si>
    <t>Segmento</t>
  </si>
  <si>
    <t>Tipo</t>
  </si>
  <si>
    <t>Residencial</t>
  </si>
  <si>
    <t>Término de Obra</t>
  </si>
  <si>
    <t>IPCA+</t>
  </si>
  <si>
    <t>Sudeste</t>
  </si>
  <si>
    <t>Centro-Oeste (DF)</t>
  </si>
  <si>
    <t xml:space="preserve">RNI </t>
  </si>
  <si>
    <t>Pulverizado</t>
  </si>
  <si>
    <t>39% (LTV médio)</t>
  </si>
  <si>
    <t>Giro de Estoque</t>
  </si>
  <si>
    <t>3Z</t>
  </si>
  <si>
    <t>Recebível + Estoque</t>
  </si>
  <si>
    <t>47% (Estoque e Recebíveis)</t>
  </si>
  <si>
    <t>Paes e Gregori</t>
  </si>
  <si>
    <t>Bari</t>
  </si>
  <si>
    <t xml:space="preserve">Sudeste, Sul e Centro-oeste </t>
  </si>
  <si>
    <t>Amora</t>
  </si>
  <si>
    <t xml:space="preserve">PHV </t>
  </si>
  <si>
    <t>Comercial</t>
  </si>
  <si>
    <t xml:space="preserve">Helbor </t>
  </si>
  <si>
    <t xml:space="preserve">Bari 2 </t>
  </si>
  <si>
    <t>68% Sudeste, 22% Sul, 10%</t>
  </si>
  <si>
    <t>São Benedito</t>
  </si>
  <si>
    <t>INCC+</t>
  </si>
  <si>
    <t xml:space="preserve">Somos </t>
  </si>
  <si>
    <t>Equity</t>
  </si>
  <si>
    <t>Epiroc</t>
  </si>
  <si>
    <t>Obra</t>
  </si>
  <si>
    <t>Bioma</t>
  </si>
  <si>
    <t>Lendme</t>
  </si>
  <si>
    <t>Bari 3</t>
  </si>
  <si>
    <t>Caixa</t>
  </si>
  <si>
    <t>VGIR11</t>
  </si>
  <si>
    <t>Fundo</t>
  </si>
  <si>
    <t>Títulos de Crédito</t>
  </si>
  <si>
    <t>XPCI11</t>
  </si>
  <si>
    <t>CPTS11</t>
  </si>
  <si>
    <t>22E1178070</t>
  </si>
  <si>
    <t>Vortx</t>
  </si>
  <si>
    <t>21H0892530</t>
  </si>
  <si>
    <t>21I0683349</t>
  </si>
  <si>
    <t>21L0735965</t>
  </si>
  <si>
    <t>22J1370286</t>
  </si>
  <si>
    <t>22C0899517</t>
  </si>
  <si>
    <t>22H1116780</t>
  </si>
  <si>
    <t>22H1389755</t>
  </si>
  <si>
    <t>22H1104501</t>
  </si>
  <si>
    <t>22I0099580</t>
  </si>
  <si>
    <t>22L1607693</t>
  </si>
  <si>
    <t>23F2910406</t>
  </si>
  <si>
    <t>23H2512601</t>
  </si>
  <si>
    <t>23G2246560</t>
  </si>
  <si>
    <t>23B0508037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</si>
  <si>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</si>
  <si>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</si>
  <si>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</si>
  <si>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</si>
  <si>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</si>
  <si>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</si>
  <si>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</si>
  <si>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</si>
  <si>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</si>
  <si>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1,00% a.a.</t>
  </si>
  <si>
    <t>Taxa de Administração e Gestão</t>
  </si>
  <si>
    <t>Taxa de performance</t>
  </si>
  <si>
    <t>20% do que exceder IPCA + IMA-B5 + 1.00% a.a.</t>
  </si>
  <si>
    <t>N°</t>
  </si>
  <si>
    <t>VENCIMENTO DO CRI</t>
  </si>
  <si>
    <t>REGIÃO</t>
  </si>
  <si>
    <t>DURATION (ANOS)</t>
  </si>
  <si>
    <t>Sênior</t>
  </si>
  <si>
    <t>Média Diária de Liquidez - 30 dias</t>
  </si>
  <si>
    <t>Fluxo Financeiro</t>
  </si>
  <si>
    <t>Desde que entrou na bolsa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</si>
  <si>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</si>
  <si>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</si>
  <si>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</si>
  <si>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</si>
  <si>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</si>
  <si>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</si>
  <si>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</si>
  <si>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</si>
  <si>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</si>
  <si>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</si>
  <si>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</si>
  <si>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</si>
  <si>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</si>
  <si>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</si>
  <si>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</si>
  <si>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</si>
  <si>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</si>
  <si>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</si>
  <si>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</si>
  <si>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</si>
  <si>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</si>
  <si>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</si>
  <si>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Yield médio anualizado desde o início na B3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</si>
  <si>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</si>
  <si>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</si>
  <si>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</si>
  <si>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</si>
  <si>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</si>
  <si>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</si>
  <si>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</si>
  <si>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Dividendos médio desde o início na B3</t>
  </si>
  <si>
    <t>Virgo</t>
  </si>
  <si>
    <t>Vert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</si>
  <si>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</si>
  <si>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</si>
  <si>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</si>
  <si>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</si>
  <si>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</si>
  <si>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</si>
  <si>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</si>
  <si>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</si>
  <si>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</si>
  <si>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</si>
  <si>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</si>
  <si>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</si>
  <si>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</si>
  <si>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</si>
  <si>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</si>
  <si>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</si>
  <si>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</si>
  <si>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22L1473410 &amp; 23I1966031</t>
  </si>
  <si>
    <t>Lorena</t>
  </si>
  <si>
    <t>R$ 403 mil</t>
  </si>
  <si>
    <t>23H0153033</t>
  </si>
  <si>
    <t>Pereda 1</t>
  </si>
  <si>
    <t>Pereda 2</t>
  </si>
  <si>
    <t>Technion</t>
  </si>
  <si>
    <t>-</t>
  </si>
  <si>
    <t>Quantidade 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</si>
</sst>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3" formatCode="_-* #,##0.00_-;\-* #,##0.00_-;_-* &quot;-&quot;??_-;_-@_-"/>
    <numFmt numFmtId="164" formatCode="&quot;R$&quot;\ #,##0.0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0" fontId="9" fillId="0" borderId="0" xfId="1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4" fillId="0" borderId="0" xfId="0" applyFont="1" applyFill="1"/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9" fontId="10" fillId="0" borderId="0" xfId="0" applyNumberFormat="1" applyFont="1" applyFill="1" applyBorder="1" applyAlignment="1">
      <alignment horizontal="center" vertical="center" readingOrder="1"/>
    </xf>
    <xf numFmtId="0" fontId="10" fillId="0" borderId="0" xfId="0" quotePrefix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0" fontId="4" fillId="0" borderId="0" xfId="0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2" fillId="3" borderId="1" xfId="0" applyFont="1" applyFill="1" applyBorder="1" applyAlignment="1">
      <alignment vertical="center"/>
    </xf>
    <xf numFmtId="17" fontId="1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3" fillId="5" borderId="0" xfId="0" applyNumberFormat="1" applyFont="1" applyFill="1" applyBorder="1" applyAlignment="1">
      <alignment horizontal="left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65" fontId="9" fillId="0" borderId="0" xfId="0" applyNumberFormat="1" applyFont="1" applyFill="1" applyBorder="1" applyAlignment="1">
      <alignment horizontal="center" vertical="center" readingOrder="1"/>
    </xf>
    <xf numFmtId="165" fontId="10" fillId="0" borderId="0" xfId="0" applyNumberFormat="1" applyFont="1" applyFill="1" applyBorder="1" applyAlignment="1">
      <alignment horizontal="center" vertical="center" readingOrder="1"/>
    </xf>
    <xf numFmtId="165" fontId="9" fillId="0" borderId="0" xfId="0" applyNumberFormat="1" applyFont="1" applyFill="1" applyAlignment="1">
      <alignment horizontal="center"/>
    </xf>
    <xf numFmtId="9" fontId="9" fillId="0" borderId="0" xfId="0" applyNumberFormat="1" applyFont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4" fontId="5" fillId="0" borderId="0" xfId="2" applyNumberFormat="1" applyFont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5" fillId="0" borderId="0" xfId="2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135948</xdr:rowOff>
    </xdr:from>
    <xdr:to>
      <xdr:col>7</xdr:col>
      <xdr:colOff>15883</xdr:colOff>
      <xdr:row>20</xdr:row>
      <xdr:rowOff>135948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2796" name="Imagem 10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797" name="Agrupar 11"/>
        <xdr:cNvGrpSpPr>
          <a:grpSpLocks/>
        </xdr:cNvGrpSpPr>
      </xdr:nvGrpSpPr>
      <xdr:grpSpPr bwMode="auto">
        <a:xfrm>
          <a:off x="545410" y="977762"/>
          <a:ext cx="1171575" cy="567773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800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135948</xdr:rowOff>
    </xdr:from>
    <xdr:to>
      <xdr:col>14</xdr:col>
      <xdr:colOff>1</xdr:colOff>
      <xdr:row>20</xdr:row>
      <xdr:rowOff>135948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3576" name="Imagem 1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3577" name="Agrupar 16"/>
        <xdr:cNvGrpSpPr>
          <a:grpSpLocks/>
        </xdr:cNvGrpSpPr>
      </xdr:nvGrpSpPr>
      <xdr:grpSpPr bwMode="auto">
        <a:xfrm>
          <a:off x="190500" y="689760"/>
          <a:ext cx="1177033" cy="59001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3579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4577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4578" name="Agrupar 6"/>
        <xdr:cNvGrpSpPr>
          <a:grpSpLocks/>
        </xdr:cNvGrpSpPr>
      </xdr:nvGrpSpPr>
      <xdr:grpSpPr bwMode="auto">
        <a:xfrm>
          <a:off x="190500" y="676275"/>
          <a:ext cx="1171575" cy="56197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580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="115" zoomScaleNormal="115" workbookViewId="0">
      <selection activeCell="G12" sqref="G12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55</v>
      </c>
      <c r="G3" s="6"/>
      <c r="H3" s="5"/>
      <c r="J3" s="7" t="s">
        <v>91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79" t="s">
        <v>60</v>
      </c>
      <c r="F5" s="79"/>
      <c r="G5" s="80"/>
      <c r="H5" s="5"/>
      <c r="L5" s="79"/>
      <c r="M5" s="79"/>
      <c r="N5" s="80"/>
    </row>
    <row r="6" spans="1:14" x14ac:dyDescent="0.3">
      <c r="A6" s="5"/>
      <c r="E6" s="79"/>
      <c r="F6" s="79"/>
      <c r="G6" s="80"/>
      <c r="H6" s="5"/>
      <c r="L6" s="79"/>
      <c r="M6" s="79"/>
      <c r="N6" s="80"/>
    </row>
    <row r="7" spans="1:14" x14ac:dyDescent="0.3">
      <c r="A7" s="5"/>
      <c r="E7" s="79"/>
      <c r="F7" s="79"/>
      <c r="G7" s="80"/>
      <c r="H7" s="5"/>
      <c r="L7" s="79"/>
      <c r="M7" s="79"/>
      <c r="N7" s="80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70">
        <v>162043058.52000001</v>
      </c>
      <c r="D9" s="22"/>
      <c r="E9" s="16">
        <v>0.11</v>
      </c>
      <c r="F9" s="22"/>
      <c r="G9" s="71">
        <v>14486</v>
      </c>
      <c r="H9" s="5"/>
      <c r="J9" s="73">
        <f>(1+DRE!AJ21/DRE!AJ23/10)^12-1</f>
        <v>0.1436397494692514</v>
      </c>
      <c r="K9" s="22"/>
      <c r="L9" s="73">
        <f>(1+AVERAGE(DRE!$K$21:$AJ$21)/DRE!$AJ$23/10)^12-1</f>
        <v>0.14528541590567645</v>
      </c>
      <c r="M9" s="61"/>
      <c r="N9" s="62">
        <v>1.2144999999999999</v>
      </c>
    </row>
    <row r="10" spans="1:14" x14ac:dyDescent="0.3">
      <c r="A10" s="5"/>
      <c r="C10" s="9" t="s">
        <v>56</v>
      </c>
      <c r="D10" s="10"/>
      <c r="E10" s="9" t="s">
        <v>90</v>
      </c>
      <c r="F10" s="10"/>
      <c r="G10" s="18" t="s">
        <v>57</v>
      </c>
      <c r="H10" s="5"/>
      <c r="J10" s="9" t="s">
        <v>88</v>
      </c>
      <c r="K10" s="10"/>
      <c r="L10" s="9" t="s">
        <v>97</v>
      </c>
      <c r="M10" s="10"/>
      <c r="N10" s="18" t="s">
        <v>95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C9/16315840</f>
        <v>9.9316405725969368</v>
      </c>
      <c r="D12" s="10"/>
      <c r="E12" s="16" t="s">
        <v>63</v>
      </c>
      <c r="F12" s="10"/>
      <c r="G12" s="17" t="s">
        <v>127</v>
      </c>
      <c r="H12" s="5"/>
      <c r="J12" s="60">
        <v>0.37069999999999997</v>
      </c>
      <c r="K12" s="10"/>
      <c r="L12" s="15">
        <f>AVERAGE(DRE!$K$21:$AJ$21)</f>
        <v>1.1118517192307693</v>
      </c>
      <c r="M12" s="10"/>
      <c r="N12" s="63">
        <f>N9/(1-27.5%)</f>
        <v>1.6751724137931034</v>
      </c>
    </row>
    <row r="13" spans="1:14" x14ac:dyDescent="0.3">
      <c r="A13" s="5"/>
      <c r="C13" s="9" t="s">
        <v>93</v>
      </c>
      <c r="D13" s="10"/>
      <c r="E13" s="9" t="s">
        <v>64</v>
      </c>
      <c r="F13" s="10"/>
      <c r="G13" s="18" t="s">
        <v>72</v>
      </c>
      <c r="H13" s="5"/>
      <c r="J13" s="9" t="s">
        <v>92</v>
      </c>
      <c r="K13" s="10"/>
      <c r="L13" s="9" t="s">
        <v>105</v>
      </c>
      <c r="M13" s="10"/>
      <c r="N13" s="18" t="s">
        <v>96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70">
        <v>159568915.19999999</v>
      </c>
      <c r="D15" s="10"/>
      <c r="E15" s="21" t="s">
        <v>66</v>
      </c>
      <c r="F15" s="10"/>
      <c r="G15" s="20">
        <v>44368</v>
      </c>
      <c r="H15" s="5"/>
      <c r="J15" s="77">
        <v>3.331476986293299E-2</v>
      </c>
      <c r="K15" s="78"/>
      <c r="L15" s="77">
        <v>9.9195259804138555E-2</v>
      </c>
      <c r="M15" s="10"/>
      <c r="N15" s="63">
        <v>0.23799999999999999</v>
      </c>
    </row>
    <row r="16" spans="1:14" x14ac:dyDescent="0.3">
      <c r="A16" s="5"/>
      <c r="C16" s="9" t="s">
        <v>61</v>
      </c>
      <c r="D16" s="10"/>
      <c r="E16" s="9" t="s">
        <v>65</v>
      </c>
      <c r="F16" s="10"/>
      <c r="G16" s="18" t="s">
        <v>58</v>
      </c>
      <c r="H16" s="5"/>
      <c r="J16" s="9" t="s">
        <v>98</v>
      </c>
      <c r="K16" s="10"/>
      <c r="L16" s="9" t="s">
        <v>100</v>
      </c>
      <c r="M16" s="10"/>
      <c r="N16" s="18" t="s">
        <v>99</v>
      </c>
    </row>
    <row r="17" spans="1:14" x14ac:dyDescent="0.3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 x14ac:dyDescent="0.3">
      <c r="A18" s="5"/>
      <c r="C18" s="15">
        <f>C15/16315840</f>
        <v>9.7799999999999994</v>
      </c>
      <c r="D18" s="10"/>
      <c r="E18" s="16"/>
      <c r="F18" s="10"/>
      <c r="G18" s="17"/>
      <c r="H18" s="5"/>
      <c r="K18" s="10"/>
      <c r="L18" s="16"/>
      <c r="M18" s="10"/>
      <c r="N18" s="17"/>
    </row>
    <row r="19" spans="1:14" x14ac:dyDescent="0.3">
      <c r="A19" s="5"/>
      <c r="C19" s="9" t="s">
        <v>94</v>
      </c>
      <c r="D19" s="10"/>
      <c r="E19" s="9" t="s">
        <v>62</v>
      </c>
      <c r="F19" s="23">
        <v>45288</v>
      </c>
      <c r="G19" s="18"/>
      <c r="H19" s="5"/>
      <c r="K19" s="10"/>
      <c r="L19" s="9"/>
      <c r="M19" s="23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Y56"/>
  <sheetViews>
    <sheetView showGridLines="0" tabSelected="1" zoomScale="89" zoomScaleNormal="115" workbookViewId="0">
      <selection activeCell="M18" sqref="M18"/>
    </sheetView>
  </sheetViews>
  <sheetFormatPr defaultRowHeight="16.5" x14ac:dyDescent="0.3"/>
  <cols>
    <col min="1" max="4" width="6.7109375" style="4" customWidth="1"/>
    <col min="5" max="5" width="2.7109375" style="4" bestFit="1" customWidth="1"/>
    <col min="6" max="6" width="11.28515625" style="4" bestFit="1" customWidth="1"/>
    <col min="7" max="7" width="15.42578125" style="4" customWidth="1"/>
    <col min="8" max="8" width="6" style="4" customWidth="1"/>
    <col min="9" max="10" width="14.42578125" style="4" customWidth="1"/>
    <col min="11" max="11" width="9" style="4" customWidth="1"/>
    <col min="12" max="12" width="13.140625" style="4" customWidth="1"/>
    <col min="13" max="13" width="11.85546875" style="4" customWidth="1"/>
    <col min="14" max="14" width="10.28515625" style="4" customWidth="1"/>
    <col min="15" max="15" width="12.85546875" style="4" customWidth="1"/>
    <col min="16" max="16" width="9.7109375" style="4" customWidth="1"/>
    <col min="17" max="17" width="13.42578125" style="4" customWidth="1"/>
    <col min="18" max="18" width="18.42578125" style="4" customWidth="1"/>
    <col min="19" max="19" width="18.7109375" style="4" customWidth="1"/>
    <col min="20" max="20" width="15.140625" style="4" customWidth="1"/>
    <col min="21" max="21" width="17.85546875" style="4" customWidth="1"/>
    <col min="22" max="22" width="4.7109375" style="4" customWidth="1"/>
    <col min="23" max="23" width="20" style="4" customWidth="1"/>
    <col min="24" max="25" width="17.42578125" style="4" bestFit="1" customWidth="1"/>
    <col min="26" max="16384" width="9.140625" style="4"/>
  </cols>
  <sheetData>
    <row r="3" spans="5:25" x14ac:dyDescent="0.3">
      <c r="R3" s="68"/>
    </row>
    <row r="4" spans="5:25" x14ac:dyDescent="0.3">
      <c r="R4" s="69"/>
    </row>
    <row r="5" spans="5:25" x14ac:dyDescent="0.3">
      <c r="R5" s="68"/>
    </row>
    <row r="6" spans="5:25" ht="17.25" thickBot="1" x14ac:dyDescent="0.35"/>
    <row r="7" spans="5:25" x14ac:dyDescent="0.3">
      <c r="E7" s="39" t="s">
        <v>67</v>
      </c>
      <c r="F7" s="40" t="s">
        <v>112</v>
      </c>
      <c r="G7" s="40" t="s">
        <v>113</v>
      </c>
      <c r="H7" s="40" t="s">
        <v>115</v>
      </c>
      <c r="I7" s="40" t="s">
        <v>116</v>
      </c>
      <c r="J7" s="40" t="s">
        <v>133</v>
      </c>
      <c r="K7" s="40" t="s">
        <v>117</v>
      </c>
      <c r="L7" s="40" t="s">
        <v>118</v>
      </c>
      <c r="M7" s="40" t="s">
        <v>120</v>
      </c>
      <c r="N7" s="40" t="s">
        <v>121</v>
      </c>
      <c r="O7" s="40" t="s">
        <v>122</v>
      </c>
      <c r="P7" s="40" t="s">
        <v>0</v>
      </c>
      <c r="Q7" s="40" t="s">
        <v>1</v>
      </c>
      <c r="R7" s="40" t="s">
        <v>59</v>
      </c>
      <c r="S7" s="40" t="s">
        <v>69</v>
      </c>
      <c r="T7" s="40" t="s">
        <v>70</v>
      </c>
      <c r="U7" s="40" t="s">
        <v>68</v>
      </c>
      <c r="V7" s="40" t="s">
        <v>101</v>
      </c>
      <c r="W7" s="40" t="s">
        <v>103</v>
      </c>
      <c r="X7" s="40" t="s">
        <v>123</v>
      </c>
      <c r="Y7" s="40" t="s">
        <v>124</v>
      </c>
    </row>
    <row r="8" spans="5:25" x14ac:dyDescent="0.3">
      <c r="E8" s="41">
        <v>1</v>
      </c>
      <c r="F8" s="41" t="s">
        <v>7</v>
      </c>
      <c r="G8" s="25" t="s">
        <v>38</v>
      </c>
      <c r="H8" s="24" t="s">
        <v>4</v>
      </c>
      <c r="I8" s="25">
        <v>0.09</v>
      </c>
      <c r="J8" s="26">
        <v>9900</v>
      </c>
      <c r="K8" s="25">
        <v>8.8743360984425035E-2</v>
      </c>
      <c r="L8" s="26">
        <v>9900000</v>
      </c>
      <c r="M8" s="26">
        <v>9513490.1811840013</v>
      </c>
      <c r="N8" s="38">
        <v>9643026.2175719999</v>
      </c>
      <c r="O8" s="27">
        <f t="shared" ref="O8:O25" si="0">M8/SUM($M:$M)</f>
        <v>5.9063385095858539E-2</v>
      </c>
      <c r="P8" s="24" t="s">
        <v>8</v>
      </c>
      <c r="Q8" s="24" t="s">
        <v>8</v>
      </c>
      <c r="R8" s="24" t="s">
        <v>9</v>
      </c>
      <c r="S8" s="24" t="s">
        <v>5</v>
      </c>
      <c r="T8" s="64">
        <v>1.8</v>
      </c>
      <c r="U8" s="28">
        <v>48710</v>
      </c>
      <c r="V8" s="41" t="s">
        <v>102</v>
      </c>
      <c r="W8" s="72">
        <v>0.45</v>
      </c>
      <c r="X8" s="25" t="s">
        <v>114</v>
      </c>
      <c r="Y8" s="25" t="s">
        <v>106</v>
      </c>
    </row>
    <row r="9" spans="5:25" x14ac:dyDescent="0.3">
      <c r="E9" s="41">
        <f t="shared" ref="E9:E25" si="1">E8+1</f>
        <v>2</v>
      </c>
      <c r="F9" s="41" t="s">
        <v>126</v>
      </c>
      <c r="G9" s="25" t="s">
        <v>40</v>
      </c>
      <c r="H9" s="24" t="s">
        <v>4</v>
      </c>
      <c r="I9" s="31">
        <v>8.6999999999999994E-2</v>
      </c>
      <c r="J9" s="32">
        <v>12000</v>
      </c>
      <c r="K9" s="31">
        <v>8.9822569986898415E-2</v>
      </c>
      <c r="L9" s="32">
        <v>12000000</v>
      </c>
      <c r="M9" s="32">
        <v>5366978.3661599997</v>
      </c>
      <c r="N9" s="38">
        <v>5204604.2866799999</v>
      </c>
      <c r="O9" s="27">
        <f t="shared" si="0"/>
        <v>3.3320254081788368E-2</v>
      </c>
      <c r="P9" s="30" t="s">
        <v>2</v>
      </c>
      <c r="Q9" s="30" t="s">
        <v>10</v>
      </c>
      <c r="R9" s="34">
        <v>0.67</v>
      </c>
      <c r="S9" s="30" t="s">
        <v>5</v>
      </c>
      <c r="T9" s="65">
        <v>3</v>
      </c>
      <c r="U9" s="33">
        <v>46235</v>
      </c>
      <c r="V9" s="41" t="s">
        <v>102</v>
      </c>
      <c r="W9" s="72" t="s">
        <v>54</v>
      </c>
      <c r="X9" s="25" t="s">
        <v>39</v>
      </c>
      <c r="Y9" s="25" t="s">
        <v>107</v>
      </c>
    </row>
    <row r="10" spans="5:25" x14ac:dyDescent="0.3">
      <c r="E10" s="41">
        <f t="shared" si="1"/>
        <v>3</v>
      </c>
      <c r="F10" s="41" t="s">
        <v>11</v>
      </c>
      <c r="G10" s="25" t="s">
        <v>41</v>
      </c>
      <c r="H10" s="24" t="s">
        <v>4</v>
      </c>
      <c r="I10" s="31">
        <v>7.4999999999999997E-2</v>
      </c>
      <c r="J10" s="32">
        <v>5000</v>
      </c>
      <c r="K10" s="31">
        <v>7.529144444068403E-2</v>
      </c>
      <c r="L10" s="32">
        <v>5000000</v>
      </c>
      <c r="M10" s="32">
        <v>2083154.9094</v>
      </c>
      <c r="N10" s="38">
        <v>2075352.4619</v>
      </c>
      <c r="O10" s="27">
        <f t="shared" si="0"/>
        <v>1.2933022296230277E-2</v>
      </c>
      <c r="P10" s="30" t="s">
        <v>2</v>
      </c>
      <c r="Q10" s="30" t="s">
        <v>12</v>
      </c>
      <c r="R10" s="30" t="s">
        <v>13</v>
      </c>
      <c r="S10" s="30" t="s">
        <v>5</v>
      </c>
      <c r="T10" s="65">
        <v>4.5</v>
      </c>
      <c r="U10" s="33">
        <v>47011</v>
      </c>
      <c r="V10" s="41" t="s">
        <v>102</v>
      </c>
      <c r="W10" s="72">
        <v>0.4</v>
      </c>
      <c r="X10" s="25" t="s">
        <v>39</v>
      </c>
      <c r="Y10" s="25" t="s">
        <v>108</v>
      </c>
    </row>
    <row r="11" spans="5:25" x14ac:dyDescent="0.3">
      <c r="E11" s="41">
        <f t="shared" si="1"/>
        <v>4</v>
      </c>
      <c r="F11" s="41" t="s">
        <v>129</v>
      </c>
      <c r="G11" s="25" t="s">
        <v>42</v>
      </c>
      <c r="H11" s="24" t="s">
        <v>4</v>
      </c>
      <c r="I11" s="31">
        <v>0.08</v>
      </c>
      <c r="J11" s="32">
        <v>12000</v>
      </c>
      <c r="K11" s="31">
        <v>7.6225808570172138E-2</v>
      </c>
      <c r="L11" s="32">
        <v>12000000</v>
      </c>
      <c r="M11" s="32">
        <v>12067373.18076</v>
      </c>
      <c r="N11" s="38">
        <v>12644288.611320002</v>
      </c>
      <c r="O11" s="27">
        <f t="shared" si="0"/>
        <v>7.4918867386896196E-2</v>
      </c>
      <c r="P11" s="24" t="s">
        <v>8</v>
      </c>
      <c r="Q11" s="30" t="s">
        <v>8</v>
      </c>
      <c r="R11" s="34">
        <v>0.54</v>
      </c>
      <c r="S11" s="30" t="s">
        <v>5</v>
      </c>
      <c r="T11" s="65">
        <v>5.7</v>
      </c>
      <c r="U11" s="33">
        <v>50782</v>
      </c>
      <c r="V11" s="41" t="s">
        <v>102</v>
      </c>
      <c r="W11" s="72">
        <v>0.19</v>
      </c>
      <c r="X11" s="25" t="s">
        <v>114</v>
      </c>
      <c r="Y11" s="25" t="s">
        <v>106</v>
      </c>
    </row>
    <row r="12" spans="5:25" x14ac:dyDescent="0.3">
      <c r="E12" s="41">
        <f t="shared" si="1"/>
        <v>5</v>
      </c>
      <c r="F12" s="41" t="s">
        <v>14</v>
      </c>
      <c r="G12" s="25" t="s">
        <v>43</v>
      </c>
      <c r="H12" s="24" t="s">
        <v>4</v>
      </c>
      <c r="I12" s="31">
        <v>0.109</v>
      </c>
      <c r="J12" s="32">
        <v>15045</v>
      </c>
      <c r="K12" s="31">
        <v>0.10869036940573107</v>
      </c>
      <c r="L12" s="32">
        <v>15045000</v>
      </c>
      <c r="M12" s="32">
        <v>15079124.216851199</v>
      </c>
      <c r="N12" s="38">
        <v>15120109.372103851</v>
      </c>
      <c r="O12" s="27">
        <f t="shared" si="0"/>
        <v>9.3616969541805539E-2</v>
      </c>
      <c r="P12" s="30" t="s">
        <v>2</v>
      </c>
      <c r="Q12" s="30" t="s">
        <v>3</v>
      </c>
      <c r="R12" s="34">
        <v>0.33</v>
      </c>
      <c r="S12" s="30" t="s">
        <v>5</v>
      </c>
      <c r="T12" s="65">
        <v>3</v>
      </c>
      <c r="U12" s="33">
        <v>45962</v>
      </c>
      <c r="V12" s="41" t="s">
        <v>102</v>
      </c>
      <c r="W12" s="72" t="s">
        <v>54</v>
      </c>
      <c r="X12" s="25" t="s">
        <v>114</v>
      </c>
      <c r="Y12" s="25" t="s">
        <v>109</v>
      </c>
    </row>
    <row r="13" spans="5:25" x14ac:dyDescent="0.3">
      <c r="E13" s="41">
        <f t="shared" si="1"/>
        <v>6</v>
      </c>
      <c r="F13" s="41" t="s">
        <v>15</v>
      </c>
      <c r="G13" s="25" t="s">
        <v>44</v>
      </c>
      <c r="H13" s="24" t="s">
        <v>4</v>
      </c>
      <c r="I13" s="31">
        <v>7.2499999999999995E-2</v>
      </c>
      <c r="J13" s="32">
        <v>3960</v>
      </c>
      <c r="K13" s="31">
        <v>6.8562424005216505E-2</v>
      </c>
      <c r="L13" s="32">
        <v>3976780.41</v>
      </c>
      <c r="M13" s="32">
        <v>3103862.2363188001</v>
      </c>
      <c r="N13" s="38">
        <v>3276522.3029219997</v>
      </c>
      <c r="O13" s="27">
        <f t="shared" si="0"/>
        <v>1.9269963710140111E-2</v>
      </c>
      <c r="P13" s="30" t="s">
        <v>8</v>
      </c>
      <c r="Q13" s="30" t="s">
        <v>8</v>
      </c>
      <c r="R13" s="34">
        <v>0.52</v>
      </c>
      <c r="S13" s="30" t="s">
        <v>16</v>
      </c>
      <c r="T13" s="65">
        <v>4.7</v>
      </c>
      <c r="U13" s="33">
        <v>15036</v>
      </c>
      <c r="V13" s="41" t="s">
        <v>71</v>
      </c>
      <c r="W13" s="72">
        <v>0.1</v>
      </c>
      <c r="X13" s="25" t="s">
        <v>114</v>
      </c>
      <c r="Y13" s="25" t="s">
        <v>15</v>
      </c>
    </row>
    <row r="14" spans="5:25" x14ac:dyDescent="0.3">
      <c r="E14" s="41">
        <f t="shared" si="1"/>
        <v>7</v>
      </c>
      <c r="F14" s="41" t="s">
        <v>17</v>
      </c>
      <c r="G14" s="25" t="s">
        <v>45</v>
      </c>
      <c r="H14" s="24" t="s">
        <v>4</v>
      </c>
      <c r="I14" s="31">
        <v>8.7999999999999995E-2</v>
      </c>
      <c r="J14" s="32">
        <v>9402</v>
      </c>
      <c r="K14" s="31">
        <v>8.5342710100422714E-2</v>
      </c>
      <c r="L14" s="32">
        <v>14324018.35</v>
      </c>
      <c r="M14" s="32">
        <v>9255424.1506650597</v>
      </c>
      <c r="N14" s="38">
        <v>9532756.7983633801</v>
      </c>
      <c r="O14" s="27">
        <f t="shared" si="0"/>
        <v>5.7461212491439782E-2</v>
      </c>
      <c r="P14" s="30" t="s">
        <v>2</v>
      </c>
      <c r="Q14" s="30" t="s">
        <v>12</v>
      </c>
      <c r="R14" s="34">
        <v>0.7</v>
      </c>
      <c r="S14" s="30" t="s">
        <v>5</v>
      </c>
      <c r="T14" s="65">
        <v>4</v>
      </c>
      <c r="U14" s="33">
        <v>46615</v>
      </c>
      <c r="V14" s="41" t="s">
        <v>71</v>
      </c>
      <c r="W14" s="72">
        <v>0.13784045055288852</v>
      </c>
      <c r="X14" s="25" t="s">
        <v>39</v>
      </c>
      <c r="Y14" s="25" t="s">
        <v>106</v>
      </c>
    </row>
    <row r="15" spans="5:25" x14ac:dyDescent="0.3">
      <c r="E15" s="41">
        <f t="shared" si="1"/>
        <v>8</v>
      </c>
      <c r="F15" s="41" t="s">
        <v>18</v>
      </c>
      <c r="G15" s="25" t="s">
        <v>46</v>
      </c>
      <c r="H15" s="24" t="s">
        <v>104</v>
      </c>
      <c r="I15" s="31">
        <v>3.5000000000000003E-2</v>
      </c>
      <c r="J15" s="32">
        <v>15500</v>
      </c>
      <c r="K15" s="31">
        <v>3.5020407484268823E-2</v>
      </c>
      <c r="L15" s="32">
        <v>15500000</v>
      </c>
      <c r="M15" s="32">
        <v>13565443.459145</v>
      </c>
      <c r="N15" s="38">
        <v>13557661.733744999</v>
      </c>
      <c r="O15" s="27">
        <f t="shared" si="0"/>
        <v>8.4219460551738387E-2</v>
      </c>
      <c r="P15" s="30" t="s">
        <v>19</v>
      </c>
      <c r="Q15" s="30" t="s">
        <v>10</v>
      </c>
      <c r="R15" s="34">
        <v>0.42</v>
      </c>
      <c r="S15" s="30" t="s">
        <v>5</v>
      </c>
      <c r="T15" s="65">
        <v>3</v>
      </c>
      <c r="U15" s="33">
        <v>47352</v>
      </c>
      <c r="V15" s="41" t="s">
        <v>102</v>
      </c>
      <c r="W15" s="72" t="s">
        <v>54</v>
      </c>
      <c r="X15" s="25" t="s">
        <v>114</v>
      </c>
      <c r="Y15" s="25" t="s">
        <v>109</v>
      </c>
    </row>
    <row r="16" spans="5:25" x14ac:dyDescent="0.3">
      <c r="E16" s="41">
        <f t="shared" si="1"/>
        <v>9</v>
      </c>
      <c r="F16" s="41" t="s">
        <v>20</v>
      </c>
      <c r="G16" s="25" t="s">
        <v>47</v>
      </c>
      <c r="H16" s="24" t="s">
        <v>104</v>
      </c>
      <c r="I16" s="31">
        <v>2.4E-2</v>
      </c>
      <c r="J16" s="32">
        <v>10025</v>
      </c>
      <c r="K16" s="31">
        <v>2.4156963813211307E-2</v>
      </c>
      <c r="L16" s="32">
        <v>10000000</v>
      </c>
      <c r="M16" s="32">
        <v>5230714.4015650004</v>
      </c>
      <c r="N16" s="38">
        <v>5197093.6339517506</v>
      </c>
      <c r="O16" s="27">
        <f t="shared" si="0"/>
        <v>3.247427528091875E-2</v>
      </c>
      <c r="P16" s="30" t="s">
        <v>2</v>
      </c>
      <c r="Q16" s="30" t="s">
        <v>10</v>
      </c>
      <c r="R16" s="34">
        <v>0.8</v>
      </c>
      <c r="S16" s="30" t="s">
        <v>5</v>
      </c>
      <c r="T16" s="65">
        <v>2.5</v>
      </c>
      <c r="U16" s="33">
        <v>46625</v>
      </c>
      <c r="V16" s="41" t="s">
        <v>102</v>
      </c>
      <c r="W16" s="72" t="s">
        <v>54</v>
      </c>
      <c r="X16" s="25" t="s">
        <v>114</v>
      </c>
      <c r="Y16" s="25" t="s">
        <v>15</v>
      </c>
    </row>
    <row r="17" spans="5:25" x14ac:dyDescent="0.3">
      <c r="E17" s="41">
        <f t="shared" si="1"/>
        <v>10</v>
      </c>
      <c r="F17" s="41" t="s">
        <v>21</v>
      </c>
      <c r="G17" s="25" t="s">
        <v>48</v>
      </c>
      <c r="H17" s="24" t="s">
        <v>4</v>
      </c>
      <c r="I17" s="31">
        <v>7.7499999999999999E-2</v>
      </c>
      <c r="J17" s="32">
        <v>5000</v>
      </c>
      <c r="K17" s="31">
        <v>7.3872144848462051E-2</v>
      </c>
      <c r="L17" s="32">
        <v>5002676.18</v>
      </c>
      <c r="M17" s="32">
        <v>4302487.8761</v>
      </c>
      <c r="N17" s="38">
        <v>4506719.0514000002</v>
      </c>
      <c r="O17" s="27">
        <f t="shared" si="0"/>
        <v>2.6711490047991029E-2</v>
      </c>
      <c r="P17" s="30" t="s">
        <v>8</v>
      </c>
      <c r="Q17" s="30" t="s">
        <v>8</v>
      </c>
      <c r="R17" s="34">
        <v>0.49</v>
      </c>
      <c r="S17" s="30" t="s">
        <v>22</v>
      </c>
      <c r="T17" s="65">
        <v>5.2</v>
      </c>
      <c r="U17" s="33">
        <v>15766</v>
      </c>
      <c r="V17" s="41" t="s">
        <v>71</v>
      </c>
      <c r="W17" s="72">
        <v>0.1</v>
      </c>
      <c r="X17" s="25" t="s">
        <v>114</v>
      </c>
      <c r="Y17" s="25" t="s">
        <v>15</v>
      </c>
    </row>
    <row r="18" spans="5:25" x14ac:dyDescent="0.3">
      <c r="E18" s="41">
        <f t="shared" si="1"/>
        <v>11</v>
      </c>
      <c r="F18" s="41" t="s">
        <v>130</v>
      </c>
      <c r="G18" s="25" t="s">
        <v>125</v>
      </c>
      <c r="H18" s="24" t="s">
        <v>4</v>
      </c>
      <c r="I18" s="31">
        <v>9.7500000000000003E-2</v>
      </c>
      <c r="J18" s="32">
        <v>15518</v>
      </c>
      <c r="K18" s="31">
        <v>9.4289750626428193E-2</v>
      </c>
      <c r="L18" s="32">
        <v>15518000</v>
      </c>
      <c r="M18" s="32">
        <v>14287093.15077058</v>
      </c>
      <c r="N18" s="38">
        <v>14753371.392940421</v>
      </c>
      <c r="O18" s="27">
        <f t="shared" si="0"/>
        <v>8.8699737803202852E-2</v>
      </c>
      <c r="P18" s="24" t="s">
        <v>8</v>
      </c>
      <c r="Q18" s="30" t="s">
        <v>8</v>
      </c>
      <c r="R18" s="34">
        <v>0.5</v>
      </c>
      <c r="S18" s="30" t="s">
        <v>5</v>
      </c>
      <c r="T18" s="65">
        <v>6</v>
      </c>
      <c r="U18" s="33">
        <v>50901</v>
      </c>
      <c r="V18" s="41" t="s">
        <v>102</v>
      </c>
      <c r="W18" s="72">
        <v>0.2</v>
      </c>
      <c r="X18" s="25" t="s">
        <v>114</v>
      </c>
      <c r="Y18" s="25" t="s">
        <v>106</v>
      </c>
    </row>
    <row r="19" spans="5:25" x14ac:dyDescent="0.3">
      <c r="E19" s="41">
        <f t="shared" si="1"/>
        <v>12</v>
      </c>
      <c r="F19" s="43" t="s">
        <v>23</v>
      </c>
      <c r="G19" s="25" t="s">
        <v>49</v>
      </c>
      <c r="H19" s="24" t="s">
        <v>104</v>
      </c>
      <c r="I19" s="31">
        <v>0.03</v>
      </c>
      <c r="J19" s="32">
        <v>8013</v>
      </c>
      <c r="K19" s="31">
        <v>3.0217576317931982E-2</v>
      </c>
      <c r="L19" s="32">
        <v>7999484.3200000003</v>
      </c>
      <c r="M19" s="32">
        <v>7519367.5782981003</v>
      </c>
      <c r="N19" s="38">
        <v>7465952.2984893005</v>
      </c>
      <c r="O19" s="27">
        <f t="shared" si="0"/>
        <v>4.6683109405286742E-2</v>
      </c>
      <c r="P19" s="30" t="s">
        <v>2</v>
      </c>
      <c r="Q19" s="30" t="s">
        <v>12</v>
      </c>
      <c r="R19" s="34">
        <v>0.62</v>
      </c>
      <c r="S19" s="30" t="s">
        <v>6</v>
      </c>
      <c r="T19" s="65">
        <v>3.3</v>
      </c>
      <c r="U19" s="33">
        <v>47499</v>
      </c>
      <c r="V19" s="41" t="s">
        <v>102</v>
      </c>
      <c r="W19" s="72" t="s">
        <v>54</v>
      </c>
      <c r="X19" s="25" t="s">
        <v>114</v>
      </c>
      <c r="Y19" s="25" t="s">
        <v>15</v>
      </c>
    </row>
    <row r="20" spans="5:25" x14ac:dyDescent="0.3">
      <c r="E20" s="41">
        <f t="shared" si="1"/>
        <v>13</v>
      </c>
      <c r="F20" s="43" t="s">
        <v>25</v>
      </c>
      <c r="G20" s="25">
        <v>0</v>
      </c>
      <c r="H20" s="24" t="s">
        <v>24</v>
      </c>
      <c r="I20" s="31">
        <v>0.23799999999999999</v>
      </c>
      <c r="J20" s="32" t="s">
        <v>54</v>
      </c>
      <c r="K20" s="25">
        <v>0</v>
      </c>
      <c r="L20" s="32">
        <v>2934599</v>
      </c>
      <c r="M20" s="38">
        <v>2934599</v>
      </c>
      <c r="N20" s="38">
        <v>2934599</v>
      </c>
      <c r="O20" s="27">
        <f t="shared" si="0"/>
        <v>1.8219112811167049E-2</v>
      </c>
      <c r="P20" s="30" t="s">
        <v>2</v>
      </c>
      <c r="Q20" s="30" t="s">
        <v>26</v>
      </c>
      <c r="R20" s="30" t="s">
        <v>132</v>
      </c>
      <c r="S20" s="30" t="s">
        <v>6</v>
      </c>
      <c r="T20" s="66" t="s">
        <v>132</v>
      </c>
      <c r="U20" s="43" t="s">
        <v>132</v>
      </c>
      <c r="V20" s="43" t="s">
        <v>54</v>
      </c>
      <c r="W20" s="31" t="s">
        <v>54</v>
      </c>
      <c r="X20" s="43" t="s">
        <v>54</v>
      </c>
      <c r="Y20" s="25" t="s">
        <v>54</v>
      </c>
    </row>
    <row r="21" spans="5:25" x14ac:dyDescent="0.3">
      <c r="E21" s="41">
        <f t="shared" si="1"/>
        <v>14</v>
      </c>
      <c r="F21" s="43" t="s">
        <v>27</v>
      </c>
      <c r="G21" s="25" t="s">
        <v>50</v>
      </c>
      <c r="H21" s="24" t="s">
        <v>4</v>
      </c>
      <c r="I21" s="31">
        <v>0.11</v>
      </c>
      <c r="J21" s="32">
        <v>10514</v>
      </c>
      <c r="K21" s="25">
        <v>0.11027314060051818</v>
      </c>
      <c r="L21" s="32">
        <v>10500000</v>
      </c>
      <c r="M21" s="38">
        <v>10495661.356714239</v>
      </c>
      <c r="N21" s="38">
        <v>10470867.16758026</v>
      </c>
      <c r="O21" s="27">
        <f t="shared" si="0"/>
        <v>6.516107934534951E-2</v>
      </c>
      <c r="P21" s="30" t="s">
        <v>19</v>
      </c>
      <c r="Q21" s="30" t="s">
        <v>28</v>
      </c>
      <c r="R21" s="30">
        <v>0.77011494252873569</v>
      </c>
      <c r="S21" s="30" t="s">
        <v>5</v>
      </c>
      <c r="T21" s="66">
        <v>3.1</v>
      </c>
      <c r="U21" s="43">
        <v>48871</v>
      </c>
      <c r="V21" s="43" t="s">
        <v>54</v>
      </c>
      <c r="W21" s="31" t="s">
        <v>54</v>
      </c>
      <c r="X21" s="43" t="s">
        <v>114</v>
      </c>
      <c r="Y21" s="25" t="s">
        <v>108</v>
      </c>
    </row>
    <row r="22" spans="5:25" x14ac:dyDescent="0.3">
      <c r="E22" s="41">
        <f t="shared" si="1"/>
        <v>15</v>
      </c>
      <c r="F22" s="43" t="s">
        <v>29</v>
      </c>
      <c r="G22" s="25" t="s">
        <v>51</v>
      </c>
      <c r="H22" s="24" t="s">
        <v>104</v>
      </c>
      <c r="I22" s="31">
        <v>0.05</v>
      </c>
      <c r="J22" s="32">
        <v>3000</v>
      </c>
      <c r="K22" s="25">
        <v>5.0032266295578998E-2</v>
      </c>
      <c r="L22" s="32">
        <v>3020373.87</v>
      </c>
      <c r="M22" s="38">
        <v>3017136.429</v>
      </c>
      <c r="N22" s="38">
        <v>3015233.4896399998</v>
      </c>
      <c r="O22" s="27">
        <f t="shared" si="0"/>
        <v>1.8731536733513746E-2</v>
      </c>
      <c r="P22" s="35" t="s">
        <v>2</v>
      </c>
      <c r="Q22" s="30" t="s">
        <v>3</v>
      </c>
      <c r="R22" s="30">
        <v>0.44679999999999997</v>
      </c>
      <c r="S22" s="30" t="s">
        <v>5</v>
      </c>
      <c r="T22" s="66">
        <v>2.4</v>
      </c>
      <c r="U22" s="43">
        <v>46071</v>
      </c>
      <c r="V22" s="43" t="s">
        <v>54</v>
      </c>
      <c r="W22" s="31" t="s">
        <v>54</v>
      </c>
      <c r="X22" s="43" t="s">
        <v>114</v>
      </c>
      <c r="Y22" s="25" t="s">
        <v>110</v>
      </c>
    </row>
    <row r="23" spans="5:25" x14ac:dyDescent="0.3">
      <c r="E23" s="41">
        <f t="shared" si="1"/>
        <v>16</v>
      </c>
      <c r="F23" s="43" t="s">
        <v>30</v>
      </c>
      <c r="G23" s="25" t="s">
        <v>52</v>
      </c>
      <c r="H23" s="24" t="s">
        <v>4</v>
      </c>
      <c r="I23" s="31">
        <v>0.12</v>
      </c>
      <c r="J23" s="32">
        <v>1195472086</v>
      </c>
      <c r="K23" s="31">
        <v>0.12014473823736838</v>
      </c>
      <c r="L23" s="32">
        <v>11954720.859999999</v>
      </c>
      <c r="M23" s="32">
        <v>11867690.492139202</v>
      </c>
      <c r="N23" s="38">
        <v>11854109.92924224</v>
      </c>
      <c r="O23" s="27">
        <f t="shared" si="0"/>
        <v>7.3679160895338242E-2</v>
      </c>
      <c r="P23" s="35" t="s">
        <v>8</v>
      </c>
      <c r="Q23" s="30" t="s">
        <v>8</v>
      </c>
      <c r="R23" s="34">
        <v>0.27550000000000002</v>
      </c>
      <c r="S23" s="30" t="s">
        <v>5</v>
      </c>
      <c r="T23" s="65">
        <v>9.1</v>
      </c>
      <c r="U23" s="33">
        <v>52249</v>
      </c>
      <c r="V23" s="41" t="s">
        <v>102</v>
      </c>
      <c r="W23" s="31">
        <v>0.35</v>
      </c>
      <c r="X23" s="25" t="s">
        <v>114</v>
      </c>
      <c r="Y23" s="25" t="s">
        <v>111</v>
      </c>
    </row>
    <row r="24" spans="5:25" x14ac:dyDescent="0.3">
      <c r="E24" s="41">
        <f t="shared" si="1"/>
        <v>17</v>
      </c>
      <c r="F24" s="43" t="s">
        <v>31</v>
      </c>
      <c r="G24" s="25" t="s">
        <v>53</v>
      </c>
      <c r="H24" s="24" t="s">
        <v>4</v>
      </c>
      <c r="I24" s="31">
        <v>0.09</v>
      </c>
      <c r="J24" s="32">
        <v>8000</v>
      </c>
      <c r="K24" s="31">
        <v>8.4119717735347432E-2</v>
      </c>
      <c r="L24" s="32">
        <v>8000046.8900000006</v>
      </c>
      <c r="M24" s="32">
        <v>7493222.8453599997</v>
      </c>
      <c r="N24" s="38">
        <v>7996876.3947199993</v>
      </c>
      <c r="O24" s="27">
        <f t="shared" si="0"/>
        <v>4.6520792905207144E-2</v>
      </c>
      <c r="P24" s="35" t="s">
        <v>8</v>
      </c>
      <c r="Q24" s="30" t="s">
        <v>8</v>
      </c>
      <c r="R24" s="34">
        <v>0.38</v>
      </c>
      <c r="S24" s="30" t="s">
        <v>22</v>
      </c>
      <c r="T24" s="65">
        <v>3.7</v>
      </c>
      <c r="U24" s="33">
        <v>15827</v>
      </c>
      <c r="V24" s="41" t="s">
        <v>102</v>
      </c>
      <c r="W24" s="31">
        <v>0.1</v>
      </c>
      <c r="X24" s="25" t="s">
        <v>114</v>
      </c>
      <c r="Y24" s="25" t="s">
        <v>15</v>
      </c>
    </row>
    <row r="25" spans="5:25" x14ac:dyDescent="0.3">
      <c r="E25" s="41">
        <f t="shared" si="1"/>
        <v>18</v>
      </c>
      <c r="F25" s="43" t="s">
        <v>131</v>
      </c>
      <c r="G25" s="25" t="s">
        <v>128</v>
      </c>
      <c r="H25" s="24" t="s">
        <v>4</v>
      </c>
      <c r="I25" s="31">
        <v>0.12</v>
      </c>
      <c r="J25" s="32">
        <v>15000</v>
      </c>
      <c r="K25" s="31">
        <v>0.11417991497298319</v>
      </c>
      <c r="L25" s="32">
        <v>15000000</v>
      </c>
      <c r="M25" s="32">
        <v>15017779.1472</v>
      </c>
      <c r="N25" s="38">
        <v>15744883.292700002</v>
      </c>
      <c r="O25" s="27">
        <f t="shared" si="0"/>
        <v>9.3236115890460297E-2</v>
      </c>
      <c r="P25" s="35" t="s">
        <v>19</v>
      </c>
      <c r="Q25" s="30" t="s">
        <v>28</v>
      </c>
      <c r="R25" s="34">
        <v>0.75</v>
      </c>
      <c r="S25" s="30" t="s">
        <v>5</v>
      </c>
      <c r="T25" s="65">
        <v>1.7</v>
      </c>
      <c r="U25" s="33">
        <v>46364</v>
      </c>
      <c r="V25" s="41" t="s">
        <v>71</v>
      </c>
      <c r="W25" s="31">
        <v>0.25</v>
      </c>
      <c r="X25" s="25" t="s">
        <v>114</v>
      </c>
      <c r="Y25" s="25" t="s">
        <v>109</v>
      </c>
    </row>
    <row r="26" spans="5:25" x14ac:dyDescent="0.3">
      <c r="E26" s="41"/>
      <c r="F26" s="43"/>
      <c r="G26" s="25"/>
      <c r="H26" s="24"/>
      <c r="I26" s="31"/>
      <c r="J26" s="31"/>
      <c r="K26" s="31"/>
      <c r="L26" s="32"/>
      <c r="M26" s="32"/>
      <c r="N26" s="38"/>
      <c r="O26" s="27"/>
      <c r="P26" s="30"/>
      <c r="Q26" s="30"/>
      <c r="R26" s="34"/>
      <c r="S26" s="30"/>
      <c r="T26" s="65"/>
      <c r="U26" s="33"/>
      <c r="V26" s="41"/>
      <c r="W26" s="67"/>
      <c r="X26" s="25"/>
      <c r="Y26" s="25"/>
    </row>
    <row r="27" spans="5:25" x14ac:dyDescent="0.3">
      <c r="E27" s="41">
        <f>E26+1</f>
        <v>1</v>
      </c>
      <c r="F27" s="43" t="s">
        <v>119</v>
      </c>
      <c r="G27" s="25" t="s">
        <v>54</v>
      </c>
      <c r="H27" s="24" t="s">
        <v>32</v>
      </c>
      <c r="I27" s="25" t="s">
        <v>54</v>
      </c>
      <c r="J27" s="32" t="s">
        <v>54</v>
      </c>
      <c r="K27" s="25" t="s">
        <v>54</v>
      </c>
      <c r="L27" s="32">
        <v>2101966.41</v>
      </c>
      <c r="M27" s="38">
        <v>2101966.41</v>
      </c>
      <c r="N27" s="38">
        <v>2101966.41</v>
      </c>
      <c r="O27" s="36">
        <f>M27/SUM($M:$M)</f>
        <v>1.304981128565566E-2</v>
      </c>
      <c r="P27" s="30" t="s">
        <v>32</v>
      </c>
      <c r="Q27" s="43" t="s">
        <v>54</v>
      </c>
      <c r="R27" s="30" t="s">
        <v>54</v>
      </c>
      <c r="S27" s="43" t="s">
        <v>54</v>
      </c>
      <c r="T27" s="66" t="s">
        <v>54</v>
      </c>
      <c r="U27" s="43" t="s">
        <v>54</v>
      </c>
      <c r="V27" s="43" t="s">
        <v>54</v>
      </c>
      <c r="W27" s="30" t="s">
        <v>54</v>
      </c>
      <c r="X27" s="43" t="s">
        <v>54</v>
      </c>
      <c r="Y27" s="43" t="s">
        <v>54</v>
      </c>
    </row>
    <row r="28" spans="5:25" x14ac:dyDescent="0.3">
      <c r="E28" s="41">
        <f>E27+1</f>
        <v>2</v>
      </c>
      <c r="F28" s="43" t="s">
        <v>33</v>
      </c>
      <c r="G28" s="25" t="s">
        <v>54</v>
      </c>
      <c r="H28" s="24" t="s">
        <v>104</v>
      </c>
      <c r="I28" s="25" t="s">
        <v>54</v>
      </c>
      <c r="J28" s="32">
        <v>499803.00000000006</v>
      </c>
      <c r="K28" s="25" t="s">
        <v>54</v>
      </c>
      <c r="L28" s="32">
        <v>4951179.21</v>
      </c>
      <c r="M28" s="38">
        <v>4918061.5199999996</v>
      </c>
      <c r="N28" s="38">
        <v>4918061.5199999996</v>
      </c>
      <c r="O28" s="27">
        <f>M28/SUM($M:$M)</f>
        <v>3.0533206630663914E-2</v>
      </c>
      <c r="P28" s="30" t="s">
        <v>34</v>
      </c>
      <c r="Q28" s="30" t="s">
        <v>35</v>
      </c>
      <c r="R28" s="30" t="s">
        <v>54</v>
      </c>
      <c r="S28" s="43" t="s">
        <v>54</v>
      </c>
      <c r="T28" s="66" t="s">
        <v>54</v>
      </c>
      <c r="U28" s="43" t="s">
        <v>54</v>
      </c>
      <c r="V28" s="43" t="s">
        <v>54</v>
      </c>
      <c r="W28" s="30" t="s">
        <v>54</v>
      </c>
      <c r="X28" s="43" t="s">
        <v>54</v>
      </c>
      <c r="Y28" s="43" t="s">
        <v>54</v>
      </c>
    </row>
    <row r="29" spans="5:25" x14ac:dyDescent="0.3">
      <c r="E29" s="41">
        <f>E28+1</f>
        <v>3</v>
      </c>
      <c r="F29" s="43" t="s">
        <v>36</v>
      </c>
      <c r="G29" s="25" t="s">
        <v>54</v>
      </c>
      <c r="H29" s="24" t="s">
        <v>4</v>
      </c>
      <c r="I29" s="25" t="s">
        <v>54</v>
      </c>
      <c r="J29" s="32">
        <v>10643.000000000002</v>
      </c>
      <c r="K29" s="25" t="s">
        <v>54</v>
      </c>
      <c r="L29" s="32">
        <v>1000746.7400000001</v>
      </c>
      <c r="M29" s="38">
        <v>924983.13</v>
      </c>
      <c r="N29" s="38">
        <v>924983.13</v>
      </c>
      <c r="O29" s="27">
        <f>M29/SUM($M:$M)</f>
        <v>5.7426489935750663E-3</v>
      </c>
      <c r="P29" s="30" t="s">
        <v>34</v>
      </c>
      <c r="Q29" s="30" t="s">
        <v>35</v>
      </c>
      <c r="R29" s="30" t="s">
        <v>54</v>
      </c>
      <c r="S29" s="43" t="s">
        <v>54</v>
      </c>
      <c r="T29" s="66" t="s">
        <v>54</v>
      </c>
      <c r="U29" s="43" t="s">
        <v>54</v>
      </c>
      <c r="V29" s="43" t="s">
        <v>54</v>
      </c>
      <c r="W29" s="30" t="s">
        <v>54</v>
      </c>
      <c r="X29" s="43" t="s">
        <v>54</v>
      </c>
      <c r="Y29" s="43" t="s">
        <v>54</v>
      </c>
    </row>
    <row r="30" spans="5:25" x14ac:dyDescent="0.3">
      <c r="E30" s="41">
        <f>E29+1</f>
        <v>4</v>
      </c>
      <c r="F30" s="43" t="s">
        <v>37</v>
      </c>
      <c r="G30" s="25" t="s">
        <v>54</v>
      </c>
      <c r="H30" s="24" t="s">
        <v>4</v>
      </c>
      <c r="I30" s="25" t="s">
        <v>54</v>
      </c>
      <c r="J30" s="32">
        <v>10918</v>
      </c>
      <c r="K30" s="25" t="s">
        <v>54</v>
      </c>
      <c r="L30" s="32">
        <v>1000948.24</v>
      </c>
      <c r="M30" s="38">
        <v>926938.2</v>
      </c>
      <c r="N30" s="38">
        <v>926938.2</v>
      </c>
      <c r="O30" s="27">
        <f>M30/SUM($M:$M)</f>
        <v>5.7547868157728273E-3</v>
      </c>
      <c r="P30" s="30" t="s">
        <v>34</v>
      </c>
      <c r="Q30" s="30" t="s">
        <v>35</v>
      </c>
      <c r="R30" s="30" t="s">
        <v>54</v>
      </c>
      <c r="S30" s="43" t="s">
        <v>54</v>
      </c>
      <c r="T30" s="66" t="s">
        <v>54</v>
      </c>
      <c r="U30" s="43" t="s">
        <v>54</v>
      </c>
      <c r="V30" s="43" t="s">
        <v>54</v>
      </c>
      <c r="W30" s="30" t="s">
        <v>54</v>
      </c>
      <c r="X30" s="43" t="s">
        <v>54</v>
      </c>
      <c r="Y30" s="43" t="s">
        <v>54</v>
      </c>
    </row>
    <row r="32" spans="5:25" x14ac:dyDescent="0.3">
      <c r="E32" s="37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5:25" x14ac:dyDescent="0.3">
      <c r="E33" s="37"/>
      <c r="F33" s="29"/>
      <c r="G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5:25" x14ac:dyDescent="0.3">
      <c r="E34" s="37"/>
      <c r="F34" s="29"/>
      <c r="G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5:25" x14ac:dyDescent="0.3">
      <c r="E35" s="37"/>
      <c r="F35" s="29"/>
      <c r="G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5:25" x14ac:dyDescent="0.3">
      <c r="H36"/>
    </row>
    <row r="37" spans="5:25" x14ac:dyDescent="0.3">
      <c r="H37"/>
    </row>
    <row r="38" spans="5:25" x14ac:dyDescent="0.3">
      <c r="H38"/>
    </row>
    <row r="39" spans="5:25" x14ac:dyDescent="0.3">
      <c r="H39"/>
    </row>
    <row r="40" spans="5:25" x14ac:dyDescent="0.3">
      <c r="H40"/>
    </row>
    <row r="41" spans="5:25" x14ac:dyDescent="0.3">
      <c r="H41"/>
    </row>
    <row r="42" spans="5:25" x14ac:dyDescent="0.3">
      <c r="H42"/>
    </row>
    <row r="43" spans="5:25" x14ac:dyDescent="0.3">
      <c r="H43"/>
    </row>
    <row r="44" spans="5:25" x14ac:dyDescent="0.3">
      <c r="H44"/>
    </row>
    <row r="45" spans="5:25" x14ac:dyDescent="0.3">
      <c r="H45"/>
    </row>
    <row r="46" spans="5:25" x14ac:dyDescent="0.3">
      <c r="H46"/>
    </row>
    <row r="47" spans="5:25" x14ac:dyDescent="0.3">
      <c r="H47"/>
    </row>
    <row r="48" spans="5:25" x14ac:dyDescent="0.3">
      <c r="H48"/>
    </row>
    <row r="49" spans="8:8" x14ac:dyDescent="0.3">
      <c r="H49"/>
    </row>
    <row r="50" spans="8:8" x14ac:dyDescent="0.3">
      <c r="H50"/>
    </row>
    <row r="51" spans="8:8" x14ac:dyDescent="0.3">
      <c r="H51"/>
    </row>
    <row r="52" spans="8:8" x14ac:dyDescent="0.3">
      <c r="H52"/>
    </row>
    <row r="53" spans="8:8" x14ac:dyDescent="0.3">
      <c r="H53"/>
    </row>
    <row r="54" spans="8:8" x14ac:dyDescent="0.3">
      <c r="H54"/>
    </row>
    <row r="55" spans="8:8" x14ac:dyDescent="0.3">
      <c r="H55"/>
    </row>
    <row r="56" spans="8:8" x14ac:dyDescent="0.3">
      <c r="H56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AN33"/>
  <sheetViews>
    <sheetView showGridLines="0" topLeftCell="Q2" zoomScale="130" zoomScaleNormal="130" workbookViewId="0">
      <selection activeCell="AJ10" sqref="AJ10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7" width="10.140625" style="4" customWidth="1"/>
    <col min="8" max="10" width="7.140625" style="4" customWidth="1"/>
    <col min="11" max="11" width="7.28515625" style="4" customWidth="1"/>
    <col min="12" max="12" width="8" style="4" customWidth="1"/>
    <col min="13" max="13" width="7" style="4" customWidth="1"/>
    <col min="14" max="14" width="7.140625" style="4" customWidth="1"/>
    <col min="15" max="15" width="7" style="4" customWidth="1"/>
    <col min="16" max="16" width="7.140625" style="4" customWidth="1"/>
    <col min="17" max="18" width="8.140625" style="4" customWidth="1"/>
    <col min="19" max="19" width="7.85546875" style="4" customWidth="1"/>
    <col min="20" max="20" width="8.140625" style="4" customWidth="1"/>
    <col min="21" max="21" width="8.42578125" style="4" customWidth="1"/>
    <col min="22" max="22" width="8.140625" style="4" customWidth="1"/>
    <col min="23" max="23" width="8" style="4" customWidth="1"/>
    <col min="24" max="24" width="8.28515625" style="4" customWidth="1"/>
    <col min="25" max="25" width="8.140625" style="4" customWidth="1"/>
    <col min="26" max="26" width="8.42578125" style="4" customWidth="1"/>
    <col min="27" max="27" width="8" style="4" customWidth="1"/>
    <col min="28" max="28" width="7.85546875" style="4" customWidth="1"/>
    <col min="29" max="29" width="8.140625" style="4" customWidth="1"/>
    <col min="30" max="30" width="8.28515625" style="4" customWidth="1"/>
    <col min="31" max="31" width="8.140625" style="4" customWidth="1"/>
    <col min="32" max="32" width="7.85546875" style="4" customWidth="1"/>
    <col min="33" max="36" width="8" style="4" customWidth="1"/>
    <col min="37" max="37" width="2" style="4" customWidth="1"/>
    <col min="38" max="38" width="11.28515625" style="4" customWidth="1"/>
    <col min="39" max="39" width="20.140625" style="4" bestFit="1" customWidth="1"/>
    <col min="40" max="40" width="8.85546875" style="4" customWidth="1"/>
    <col min="41" max="16384" width="9.140625" style="4"/>
  </cols>
  <sheetData>
    <row r="8" spans="6:40" s="8" customFormat="1" x14ac:dyDescent="0.3">
      <c r="F8" s="44" t="s">
        <v>73</v>
      </c>
      <c r="G8" s="45">
        <v>44407</v>
      </c>
      <c r="H8" s="45">
        <v>44438</v>
      </c>
      <c r="I8" s="45">
        <v>44469</v>
      </c>
      <c r="J8" s="45">
        <v>44499</v>
      </c>
      <c r="K8" s="45">
        <v>44530</v>
      </c>
      <c r="L8" s="45">
        <v>44560</v>
      </c>
      <c r="M8" s="45">
        <v>44591</v>
      </c>
      <c r="N8" s="45">
        <v>44620</v>
      </c>
      <c r="O8" s="45">
        <v>44651</v>
      </c>
      <c r="P8" s="45">
        <v>44681</v>
      </c>
      <c r="Q8" s="45">
        <v>44712</v>
      </c>
      <c r="R8" s="45">
        <v>44742</v>
      </c>
      <c r="S8" s="45">
        <v>44773</v>
      </c>
      <c r="T8" s="45">
        <v>44804</v>
      </c>
      <c r="U8" s="45">
        <v>44834</v>
      </c>
      <c r="V8" s="45">
        <v>44865</v>
      </c>
      <c r="W8" s="45">
        <v>44895</v>
      </c>
      <c r="X8" s="45">
        <v>44926</v>
      </c>
      <c r="Y8" s="45">
        <v>44957</v>
      </c>
      <c r="Z8" s="45">
        <v>44985</v>
      </c>
      <c r="AA8" s="45">
        <v>45016</v>
      </c>
      <c r="AB8" s="45">
        <v>45046</v>
      </c>
      <c r="AC8" s="45">
        <v>45077</v>
      </c>
      <c r="AD8" s="45">
        <v>45107</v>
      </c>
      <c r="AE8" s="45">
        <v>45138</v>
      </c>
      <c r="AF8" s="45">
        <v>45169</v>
      </c>
      <c r="AG8" s="45">
        <v>45199</v>
      </c>
      <c r="AH8" s="45">
        <f>EOMONTH(AG8,1)</f>
        <v>45230</v>
      </c>
      <c r="AI8" s="45">
        <f>EOMONTH(AH8,1)</f>
        <v>45260</v>
      </c>
      <c r="AJ8" s="45">
        <f>EOMONTH(AI8,1)</f>
        <v>45291</v>
      </c>
      <c r="AK8" s="4"/>
      <c r="AL8" s="45" t="s">
        <v>86</v>
      </c>
      <c r="AM8" s="45" t="s">
        <v>74</v>
      </c>
      <c r="AN8" s="45" t="s">
        <v>75</v>
      </c>
    </row>
    <row r="9" spans="6:40" x14ac:dyDescent="0.3">
      <c r="F9" s="46" t="s">
        <v>76</v>
      </c>
      <c r="G9" s="47">
        <v>-27448.36</v>
      </c>
      <c r="H9" s="47">
        <v>122648.03</v>
      </c>
      <c r="I9" s="47">
        <v>81152.160000000003</v>
      </c>
      <c r="J9" s="47">
        <v>3429.5099999999998</v>
      </c>
      <c r="K9" s="47">
        <v>-1103.6599999999999</v>
      </c>
      <c r="L9" s="47">
        <v>42072</v>
      </c>
      <c r="M9" s="47">
        <v>82990.960000000006</v>
      </c>
      <c r="N9" s="47">
        <v>32513.74</v>
      </c>
      <c r="O9" s="47">
        <v>7341.68</v>
      </c>
      <c r="P9" s="47">
        <v>26679.439999999999</v>
      </c>
      <c r="Q9" s="47">
        <v>38898.9</v>
      </c>
      <c r="R9" s="47">
        <v>41996.03</v>
      </c>
      <c r="S9" s="47">
        <v>122464.34</v>
      </c>
      <c r="T9" s="47">
        <v>460469.65</v>
      </c>
      <c r="U9" s="47">
        <v>1234269.1100000001</v>
      </c>
      <c r="V9" s="47">
        <v>177148.95</v>
      </c>
      <c r="W9" s="47">
        <v>152056.12001188321</v>
      </c>
      <c r="X9" s="47">
        <v>103018.9797325049</v>
      </c>
      <c r="Y9" s="47">
        <v>228968.70984252301</v>
      </c>
      <c r="Z9" s="47">
        <v>24460.095853099137</v>
      </c>
      <c r="AA9" s="47">
        <v>38040.44727982425</v>
      </c>
      <c r="AB9" s="47">
        <v>21287.65067124987</v>
      </c>
      <c r="AC9" s="47">
        <v>30209.008513599736</v>
      </c>
      <c r="AD9" s="47">
        <v>43472.464008924551</v>
      </c>
      <c r="AE9" s="47">
        <v>40656.077395598702</v>
      </c>
      <c r="AF9" s="47">
        <v>76677.740241925465</v>
      </c>
      <c r="AG9" s="47">
        <v>94652.611447700532</v>
      </c>
      <c r="AH9" s="47">
        <v>52540.407587150374</v>
      </c>
      <c r="AI9" s="47">
        <v>35372.7380832005</v>
      </c>
      <c r="AJ9" s="47">
        <v>131863.33530870019</v>
      </c>
      <c r="AL9" s="47">
        <f>SUM(G9:AJ9)</f>
        <v>3518798.8659778852</v>
      </c>
      <c r="AM9" s="47">
        <f>SUM(K9:AJ9)</f>
        <v>3339017.5259778854</v>
      </c>
      <c r="AN9" s="47">
        <f>SUM(AE9:AJ9)</f>
        <v>431762.91006427584</v>
      </c>
    </row>
    <row r="10" spans="6:40" x14ac:dyDescent="0.3">
      <c r="F10" s="46" t="s">
        <v>77</v>
      </c>
      <c r="G10" s="47">
        <v>341987.87156890839</v>
      </c>
      <c r="H10" s="47">
        <v>323568.74190635874</v>
      </c>
      <c r="I10" s="47">
        <v>558217.27301237942</v>
      </c>
      <c r="J10" s="47">
        <v>673669.26624998194</v>
      </c>
      <c r="K10" s="47">
        <v>742909.3210080876</v>
      </c>
      <c r="L10" s="47">
        <v>684273.80422902422</v>
      </c>
      <c r="M10" s="47">
        <v>606060</v>
      </c>
      <c r="N10" s="47">
        <v>644906.11020397954</v>
      </c>
      <c r="O10" s="47">
        <v>623205.93560222001</v>
      </c>
      <c r="P10" s="47">
        <v>848355.65311210521</v>
      </c>
      <c r="Q10" s="47">
        <v>896175.89717894315</v>
      </c>
      <c r="R10" s="47">
        <v>731636.7297298871</v>
      </c>
      <c r="S10" s="47">
        <v>816466.13681205444</v>
      </c>
      <c r="T10" s="47">
        <v>815904</v>
      </c>
      <c r="U10" s="47">
        <v>979208.84708313365</v>
      </c>
      <c r="V10" s="47">
        <v>1036064.752082411</v>
      </c>
      <c r="W10" s="47">
        <v>969980</v>
      </c>
      <c r="X10" s="47">
        <v>1265183.2835499896</v>
      </c>
      <c r="Y10" s="47">
        <v>1284435.619144799</v>
      </c>
      <c r="Z10" s="47">
        <v>1599277.4987259335</v>
      </c>
      <c r="AA10" s="47">
        <v>1385778.712937481</v>
      </c>
      <c r="AB10" s="47">
        <v>1667018.9596353415</v>
      </c>
      <c r="AC10" s="47">
        <v>1495737.6759365972</v>
      </c>
      <c r="AD10" s="47">
        <v>1494077.1095179454</v>
      </c>
      <c r="AE10" s="47">
        <v>1387633.0266923986</v>
      </c>
      <c r="AF10" s="47">
        <v>1138267.2186427573</v>
      </c>
      <c r="AG10" s="47">
        <v>1314576.5691003962</v>
      </c>
      <c r="AH10" s="47">
        <v>1342587.8558623386</v>
      </c>
      <c r="AI10" s="47">
        <v>1463908.2785693335</v>
      </c>
      <c r="AJ10" s="47">
        <v>1454413.8180190392</v>
      </c>
      <c r="AL10" s="47">
        <f>SUM(G10:AJ10)</f>
        <v>30585485.966113828</v>
      </c>
      <c r="AM10" s="47">
        <f>SUM(K10:AJ10)</f>
        <v>28688042.813376196</v>
      </c>
      <c r="AN10" s="47">
        <f>SUM(AE10:AJ10)</f>
        <v>8101386.7668862632</v>
      </c>
    </row>
    <row r="11" spans="6:40" x14ac:dyDescent="0.3">
      <c r="F11" s="46" t="s">
        <v>78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319609.05403000076</v>
      </c>
      <c r="M11" s="48">
        <v>0</v>
      </c>
      <c r="N11" s="48">
        <v>193241.79762358</v>
      </c>
      <c r="O11" s="48">
        <v>59871.395308760133</v>
      </c>
      <c r="P11" s="48">
        <v>0</v>
      </c>
      <c r="Q11" s="48">
        <v>451627.27911116654</v>
      </c>
      <c r="R11" s="48">
        <v>7177.1160222999697</v>
      </c>
      <c r="S11" s="48">
        <v>0</v>
      </c>
      <c r="T11" s="48">
        <v>19676</v>
      </c>
      <c r="U11" s="48">
        <v>188328.66252669672</v>
      </c>
      <c r="V11" s="48">
        <v>275683.36410403904</v>
      </c>
      <c r="W11" s="48">
        <v>163049</v>
      </c>
      <c r="X11" s="48">
        <v>1930502.0800398693</v>
      </c>
      <c r="Y11" s="48">
        <v>181487.22558875169</v>
      </c>
      <c r="Z11" s="48">
        <v>130711.98</v>
      </c>
      <c r="AA11" s="48">
        <v>175970.07879605886</v>
      </c>
      <c r="AB11" s="48">
        <v>584902.75118289946</v>
      </c>
      <c r="AC11" s="48">
        <v>174935.87664139824</v>
      </c>
      <c r="AD11" s="48">
        <v>202557.33694419931</v>
      </c>
      <c r="AE11" s="48">
        <v>181148.36221980574</v>
      </c>
      <c r="AF11" s="48">
        <v>488064.71872399776</v>
      </c>
      <c r="AG11" s="48">
        <v>70157.251278001815</v>
      </c>
      <c r="AH11" s="48">
        <v>253550.7062209202</v>
      </c>
      <c r="AI11" s="48">
        <v>206224.72941807742</v>
      </c>
      <c r="AJ11" s="48">
        <v>799319.96</v>
      </c>
      <c r="AL11" s="48">
        <f>SUM(G11:AJ11)</f>
        <v>7057796.7257805225</v>
      </c>
      <c r="AM11" s="48">
        <f>SUM(K11:AJ11)</f>
        <v>7057796.7257805225</v>
      </c>
      <c r="AN11" s="48">
        <f>SUM(AE11:AJ11)</f>
        <v>1998465.727860803</v>
      </c>
    </row>
    <row r="12" spans="6:40" x14ac:dyDescent="0.3">
      <c r="F12" s="46" t="s">
        <v>79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33355.53</v>
      </c>
      <c r="T12" s="48">
        <v>129098</v>
      </c>
      <c r="U12" s="48">
        <v>138787.83000000002</v>
      </c>
      <c r="V12" s="48">
        <v>132891</v>
      </c>
      <c r="W12" s="48">
        <v>124496</v>
      </c>
      <c r="X12" s="48">
        <v>121494.86036247401</v>
      </c>
      <c r="Y12" s="48">
        <v>129781.88</v>
      </c>
      <c r="Z12" s="48">
        <v>144188.32</v>
      </c>
      <c r="AA12" s="48">
        <v>131772.78999999998</v>
      </c>
      <c r="AB12" s="48">
        <v>139442.38</v>
      </c>
      <c r="AC12" s="48">
        <v>130935.1</v>
      </c>
      <c r="AD12" s="48">
        <v>141553.28</v>
      </c>
      <c r="AE12" s="48">
        <v>143087.40999999997</v>
      </c>
      <c r="AF12" s="48">
        <v>138632.68</v>
      </c>
      <c r="AG12" s="48">
        <v>130892.71</v>
      </c>
      <c r="AH12" s="48">
        <v>119721.13</v>
      </c>
      <c r="AI12" s="48">
        <v>120883.01</v>
      </c>
      <c r="AJ12" s="48">
        <v>70152.710000000006</v>
      </c>
      <c r="AL12" s="48">
        <f>SUM(G12:AJ12)</f>
        <v>2221166.6203624737</v>
      </c>
      <c r="AM12" s="48">
        <f>SUM(K12:AJ12)</f>
        <v>2221166.6203624737</v>
      </c>
      <c r="AN12" s="48">
        <f>SUM(AE12:AJ12)</f>
        <v>723369.64999999991</v>
      </c>
    </row>
    <row r="13" spans="6:40" x14ac:dyDescent="0.3">
      <c r="F13" s="53" t="s">
        <v>80</v>
      </c>
      <c r="G13" s="54">
        <f t="shared" ref="G13:AJ13" si="0">SUM(G9:G12)</f>
        <v>314539.51156890841</v>
      </c>
      <c r="H13" s="54">
        <f t="shared" si="0"/>
        <v>446216.77190635877</v>
      </c>
      <c r="I13" s="54">
        <f t="shared" si="0"/>
        <v>639369.43301237945</v>
      </c>
      <c r="J13" s="54">
        <f t="shared" si="0"/>
        <v>677098.77624998195</v>
      </c>
      <c r="K13" s="54">
        <f t="shared" si="0"/>
        <v>741805.66100808757</v>
      </c>
      <c r="L13" s="54">
        <f t="shared" si="0"/>
        <v>1045954.858259025</v>
      </c>
      <c r="M13" s="54">
        <f t="shared" si="0"/>
        <v>689050.96</v>
      </c>
      <c r="N13" s="54">
        <f t="shared" si="0"/>
        <v>870661.6478275595</v>
      </c>
      <c r="O13" s="54">
        <f t="shared" si="0"/>
        <v>690419.01091098017</v>
      </c>
      <c r="P13" s="54">
        <f t="shared" si="0"/>
        <v>875035.09311210515</v>
      </c>
      <c r="Q13" s="54">
        <f t="shared" si="0"/>
        <v>1386702.0762901097</v>
      </c>
      <c r="R13" s="54">
        <f t="shared" si="0"/>
        <v>780809.8757521871</v>
      </c>
      <c r="S13" s="54">
        <f t="shared" si="0"/>
        <v>972286.00681205443</v>
      </c>
      <c r="T13" s="54">
        <f t="shared" si="0"/>
        <v>1425147.65</v>
      </c>
      <c r="U13" s="54">
        <f t="shared" si="0"/>
        <v>2540594.449609831</v>
      </c>
      <c r="V13" s="54">
        <f t="shared" si="0"/>
        <v>1621788.06618645</v>
      </c>
      <c r="W13" s="54">
        <f t="shared" si="0"/>
        <v>1409581.1200118833</v>
      </c>
      <c r="X13" s="54">
        <f t="shared" si="0"/>
        <v>3420199.2036848376</v>
      </c>
      <c r="Y13" s="54">
        <f t="shared" si="0"/>
        <v>1824673.4345760737</v>
      </c>
      <c r="Z13" s="54">
        <f t="shared" si="0"/>
        <v>1898637.8945790327</v>
      </c>
      <c r="AA13" s="54">
        <f t="shared" si="0"/>
        <v>1731562.0290133641</v>
      </c>
      <c r="AB13" s="54">
        <f t="shared" si="0"/>
        <v>2412651.741489491</v>
      </c>
      <c r="AC13" s="54">
        <f t="shared" si="0"/>
        <v>1831817.6610915952</v>
      </c>
      <c r="AD13" s="54">
        <f t="shared" si="0"/>
        <v>1881660.1904710694</v>
      </c>
      <c r="AE13" s="54">
        <f t="shared" si="0"/>
        <v>1752524.876307803</v>
      </c>
      <c r="AF13" s="54">
        <f t="shared" si="0"/>
        <v>1841642.3576086804</v>
      </c>
      <c r="AG13" s="54">
        <f t="shared" si="0"/>
        <v>1610279.1418260986</v>
      </c>
      <c r="AH13" s="54">
        <f t="shared" si="0"/>
        <v>1768400.0996704092</v>
      </c>
      <c r="AI13" s="54">
        <f t="shared" si="0"/>
        <v>1826388.7560706115</v>
      </c>
      <c r="AJ13" s="54">
        <f t="shared" si="0"/>
        <v>2455749.8233277393</v>
      </c>
      <c r="AL13" s="54">
        <f>SUM(G13:AJ13)</f>
        <v>43383248.178234726</v>
      </c>
      <c r="AM13" s="54">
        <f>SUM(K13:AJ13)</f>
        <v>41306023.685497098</v>
      </c>
      <c r="AN13" s="54">
        <f>SUM(AE13:AJ13)</f>
        <v>11254985.054811342</v>
      </c>
    </row>
    <row r="14" spans="6:40" ht="9.75" customHeight="1" x14ac:dyDescent="0.3"/>
    <row r="15" spans="6:40" x14ac:dyDescent="0.3">
      <c r="F15" s="46" t="s">
        <v>81</v>
      </c>
      <c r="G15" s="49">
        <v>-19939.55</v>
      </c>
      <c r="H15" s="49">
        <v>-38518.649999999994</v>
      </c>
      <c r="I15" s="49">
        <v>-47037.840000000004</v>
      </c>
      <c r="J15" s="49">
        <v>-49983.44</v>
      </c>
      <c r="K15" s="49">
        <v>-43738.6</v>
      </c>
      <c r="L15" s="49">
        <v>-43973.85</v>
      </c>
      <c r="M15" s="49">
        <v>-83558.62</v>
      </c>
      <c r="N15" s="49">
        <v>-57644.079999999994</v>
      </c>
      <c r="O15" s="49">
        <v>-52316.76</v>
      </c>
      <c r="P15" s="49">
        <v>-60801.049999999996</v>
      </c>
      <c r="Q15" s="49">
        <v>-65904.179999999993</v>
      </c>
      <c r="R15" s="49">
        <v>-63139.439999999995</v>
      </c>
      <c r="S15" s="49">
        <v>-132396.51</v>
      </c>
      <c r="T15" s="49">
        <v>-131766.44999999998</v>
      </c>
      <c r="U15" s="49">
        <v>-141094.94</v>
      </c>
      <c r="V15" s="49">
        <v>-162767.44</v>
      </c>
      <c r="W15" s="49">
        <v>-114360</v>
      </c>
      <c r="X15" s="49">
        <v>-113686.93000000001</v>
      </c>
      <c r="Y15" s="49">
        <v>-270250.02999999997</v>
      </c>
      <c r="Z15" s="49">
        <v>-269697.91000000003</v>
      </c>
      <c r="AA15" s="49">
        <v>-243210.33999999997</v>
      </c>
      <c r="AB15" s="49">
        <v>-267426.71999999997</v>
      </c>
      <c r="AC15" s="49">
        <v>-261421.96</v>
      </c>
      <c r="AD15" s="49">
        <v>-281949.86</v>
      </c>
      <c r="AE15" s="49">
        <v>-128025.54</v>
      </c>
      <c r="AF15" s="49">
        <v>-126457.26</v>
      </c>
      <c r="AG15" s="49">
        <v>-152682.67000000001</v>
      </c>
      <c r="AH15" s="49">
        <v>-175612.38999999998</v>
      </c>
      <c r="AI15" s="49">
        <v>-144862.97</v>
      </c>
      <c r="AJ15" s="49">
        <v>-140443.93</v>
      </c>
      <c r="AL15" s="49">
        <f>SUM(G15:AI15)</f>
        <v>-3744225.98</v>
      </c>
      <c r="AM15" s="49">
        <f>SUM(K15:AJ15)</f>
        <v>-3729190.4299999997</v>
      </c>
      <c r="AN15" s="49">
        <f>SUM(AE15:AJ15)</f>
        <v>-868084.76</v>
      </c>
    </row>
    <row r="16" spans="6:40" x14ac:dyDescent="0.3">
      <c r="F16" s="55" t="s">
        <v>82</v>
      </c>
      <c r="G16" s="56">
        <f t="shared" ref="G16:AJ16" si="1">G15</f>
        <v>-19939.55</v>
      </c>
      <c r="H16" s="56">
        <f t="shared" si="1"/>
        <v>-38518.649999999994</v>
      </c>
      <c r="I16" s="56">
        <f t="shared" si="1"/>
        <v>-47037.840000000004</v>
      </c>
      <c r="J16" s="56">
        <f t="shared" si="1"/>
        <v>-49983.44</v>
      </c>
      <c r="K16" s="56">
        <f t="shared" si="1"/>
        <v>-43738.6</v>
      </c>
      <c r="L16" s="56">
        <f t="shared" si="1"/>
        <v>-43973.85</v>
      </c>
      <c r="M16" s="56">
        <f t="shared" si="1"/>
        <v>-83558.62</v>
      </c>
      <c r="N16" s="56">
        <f t="shared" si="1"/>
        <v>-57644.079999999994</v>
      </c>
      <c r="O16" s="56">
        <f t="shared" si="1"/>
        <v>-52316.76</v>
      </c>
      <c r="P16" s="56">
        <f t="shared" si="1"/>
        <v>-60801.049999999996</v>
      </c>
      <c r="Q16" s="56">
        <f t="shared" si="1"/>
        <v>-65904.179999999993</v>
      </c>
      <c r="R16" s="56">
        <f t="shared" si="1"/>
        <v>-63139.439999999995</v>
      </c>
      <c r="S16" s="56">
        <f t="shared" si="1"/>
        <v>-132396.51</v>
      </c>
      <c r="T16" s="56">
        <f t="shared" si="1"/>
        <v>-131766.44999999998</v>
      </c>
      <c r="U16" s="56">
        <f t="shared" si="1"/>
        <v>-141094.94</v>
      </c>
      <c r="V16" s="56">
        <f t="shared" si="1"/>
        <v>-162767.44</v>
      </c>
      <c r="W16" s="56">
        <f t="shared" si="1"/>
        <v>-114360</v>
      </c>
      <c r="X16" s="56">
        <f t="shared" si="1"/>
        <v>-113686.93000000001</v>
      </c>
      <c r="Y16" s="56">
        <f t="shared" si="1"/>
        <v>-270250.02999999997</v>
      </c>
      <c r="Z16" s="56">
        <f t="shared" si="1"/>
        <v>-269697.91000000003</v>
      </c>
      <c r="AA16" s="56">
        <f t="shared" si="1"/>
        <v>-243210.33999999997</v>
      </c>
      <c r="AB16" s="56">
        <f t="shared" si="1"/>
        <v>-267426.71999999997</v>
      </c>
      <c r="AC16" s="56">
        <f t="shared" si="1"/>
        <v>-261421.96</v>
      </c>
      <c r="AD16" s="56">
        <f t="shared" si="1"/>
        <v>-281949.86</v>
      </c>
      <c r="AE16" s="56">
        <f t="shared" si="1"/>
        <v>-128025.54</v>
      </c>
      <c r="AF16" s="56">
        <f t="shared" si="1"/>
        <v>-126457.26</v>
      </c>
      <c r="AG16" s="56">
        <f t="shared" si="1"/>
        <v>-152682.67000000001</v>
      </c>
      <c r="AH16" s="56">
        <f t="shared" si="1"/>
        <v>-175612.38999999998</v>
      </c>
      <c r="AI16" s="56">
        <f t="shared" si="1"/>
        <v>-144862.97</v>
      </c>
      <c r="AJ16" s="56">
        <f t="shared" si="1"/>
        <v>-140443.93</v>
      </c>
      <c r="AL16" s="56">
        <f>SUM(G16:AI16)</f>
        <v>-3744225.98</v>
      </c>
      <c r="AM16" s="56">
        <f>SUM(K16:AJ16)</f>
        <v>-3729190.4299999997</v>
      </c>
      <c r="AN16" s="56">
        <f>SUM(AE16:AJ16)</f>
        <v>-868084.76</v>
      </c>
    </row>
    <row r="17" spans="6:40" x14ac:dyDescent="0.3">
      <c r="F17" s="55" t="s">
        <v>83</v>
      </c>
      <c r="G17" s="56">
        <f t="shared" ref="G17:AJ17" si="2">SUM(G16,G13)</f>
        <v>294599.96156890842</v>
      </c>
      <c r="H17" s="56">
        <f t="shared" si="2"/>
        <v>407698.12190635875</v>
      </c>
      <c r="I17" s="56">
        <f t="shared" si="2"/>
        <v>592331.59301237948</v>
      </c>
      <c r="J17" s="56">
        <f t="shared" si="2"/>
        <v>627115.33624998201</v>
      </c>
      <c r="K17" s="56">
        <f t="shared" si="2"/>
        <v>698067.06100808759</v>
      </c>
      <c r="L17" s="56">
        <f t="shared" si="2"/>
        <v>1001981.0082590251</v>
      </c>
      <c r="M17" s="56">
        <f t="shared" si="2"/>
        <v>605492.34</v>
      </c>
      <c r="N17" s="56">
        <f t="shared" si="2"/>
        <v>813017.56782755954</v>
      </c>
      <c r="O17" s="56">
        <f t="shared" si="2"/>
        <v>638102.25091098016</v>
      </c>
      <c r="P17" s="56">
        <f t="shared" si="2"/>
        <v>814234.04311210511</v>
      </c>
      <c r="Q17" s="56">
        <f t="shared" si="2"/>
        <v>1320797.8962901097</v>
      </c>
      <c r="R17" s="56">
        <f t="shared" si="2"/>
        <v>717670.43575218716</v>
      </c>
      <c r="S17" s="56">
        <f t="shared" si="2"/>
        <v>839889.49681205442</v>
      </c>
      <c r="T17" s="56">
        <f t="shared" si="2"/>
        <v>1293381.2</v>
      </c>
      <c r="U17" s="56">
        <f t="shared" si="2"/>
        <v>2399499.509609831</v>
      </c>
      <c r="V17" s="56">
        <f t="shared" si="2"/>
        <v>1459020.62618645</v>
      </c>
      <c r="W17" s="56">
        <f t="shared" si="2"/>
        <v>1295221.1200118833</v>
      </c>
      <c r="X17" s="56">
        <f t="shared" si="2"/>
        <v>3306512.2736848374</v>
      </c>
      <c r="Y17" s="56">
        <f t="shared" si="2"/>
        <v>1554423.4045760736</v>
      </c>
      <c r="Z17" s="56">
        <f t="shared" si="2"/>
        <v>1628939.9845790328</v>
      </c>
      <c r="AA17" s="56">
        <f t="shared" si="2"/>
        <v>1488351.6890133643</v>
      </c>
      <c r="AB17" s="56">
        <f t="shared" si="2"/>
        <v>2145225.0214894908</v>
      </c>
      <c r="AC17" s="56">
        <f t="shared" si="2"/>
        <v>1570395.7010915952</v>
      </c>
      <c r="AD17" s="56">
        <f t="shared" si="2"/>
        <v>1599710.3304710696</v>
      </c>
      <c r="AE17" s="56">
        <f t="shared" si="2"/>
        <v>1624499.3363078029</v>
      </c>
      <c r="AF17" s="56">
        <f t="shared" si="2"/>
        <v>1715185.0976086804</v>
      </c>
      <c r="AG17" s="56">
        <f t="shared" si="2"/>
        <v>1457596.4718260986</v>
      </c>
      <c r="AH17" s="56">
        <f t="shared" si="2"/>
        <v>1592787.7096704093</v>
      </c>
      <c r="AI17" s="56">
        <f t="shared" si="2"/>
        <v>1681525.7860706116</v>
      </c>
      <c r="AJ17" s="56">
        <f t="shared" si="2"/>
        <v>2315305.8933277391</v>
      </c>
      <c r="AL17" s="56">
        <f>SUM(G17:AI17)</f>
        <v>37183272.374906972</v>
      </c>
      <c r="AM17" s="56">
        <f>SUM(K17:AJ17)</f>
        <v>37576833.255497083</v>
      </c>
      <c r="AN17" s="56">
        <f>SUM(AE17:AJ17)</f>
        <v>10386900.294811342</v>
      </c>
    </row>
    <row r="18" spans="6:40" ht="9.75" customHeight="1" x14ac:dyDescent="0.3"/>
    <row r="19" spans="6:40" x14ac:dyDescent="0.3">
      <c r="F19" s="55" t="s">
        <v>84</v>
      </c>
      <c r="G19" s="54">
        <v>181350</v>
      </c>
      <c r="H19" s="54">
        <v>361900</v>
      </c>
      <c r="I19" s="54">
        <v>530000</v>
      </c>
      <c r="J19" s="54">
        <v>583000</v>
      </c>
      <c r="K19" s="54">
        <v>795000</v>
      </c>
      <c r="L19" s="54">
        <v>993116</v>
      </c>
      <c r="M19" s="54">
        <v>711882</v>
      </c>
      <c r="N19" s="54">
        <v>735009.83180048049</v>
      </c>
      <c r="O19" s="54">
        <v>735009.85</v>
      </c>
      <c r="P19" s="54">
        <v>862837.64999999991</v>
      </c>
      <c r="Q19" s="54">
        <v>862837.65</v>
      </c>
      <c r="R19" s="54">
        <v>1296821.8999999999</v>
      </c>
      <c r="S19" s="54">
        <v>1631584</v>
      </c>
      <c r="T19" s="54">
        <v>1631584</v>
      </c>
      <c r="U19" s="54">
        <v>1631584</v>
      </c>
      <c r="V19" s="54">
        <v>1631584</v>
      </c>
      <c r="W19" s="54">
        <v>1631584</v>
      </c>
      <c r="X19" s="54">
        <v>1905926.2022048</v>
      </c>
      <c r="Y19" s="54">
        <v>1550004.7964385401</v>
      </c>
      <c r="Z19" s="54">
        <v>1631584</v>
      </c>
      <c r="AA19" s="54">
        <v>1631584</v>
      </c>
      <c r="AB19" s="54">
        <v>1631584</v>
      </c>
      <c r="AC19" s="54">
        <v>1713163.2000000002</v>
      </c>
      <c r="AD19" s="54">
        <v>1794742.4000000001</v>
      </c>
      <c r="AE19" s="54">
        <v>1631584.0000000033</v>
      </c>
      <c r="AF19" s="54">
        <v>1631584.0000000033</v>
      </c>
      <c r="AG19" s="54">
        <v>1631584.0000000033</v>
      </c>
      <c r="AH19" s="54">
        <v>1631584.0000000033</v>
      </c>
      <c r="AI19" s="54">
        <v>1631584.0000000033</v>
      </c>
      <c r="AJ19" s="54">
        <v>1794742.4000000001</v>
      </c>
      <c r="AL19" s="54">
        <f>SUM(G19:AI19)</f>
        <v>36823193.480443828</v>
      </c>
      <c r="AM19" s="54">
        <f>SUM(K19:AJ19)</f>
        <v>36961685.880443834</v>
      </c>
      <c r="AN19" s="54">
        <f>SUM(AE19:AJ19)</f>
        <v>9952662.4000000171</v>
      </c>
    </row>
    <row r="20" spans="6:40" x14ac:dyDescent="0.3">
      <c r="F20" s="57" t="s">
        <v>85</v>
      </c>
      <c r="G20" s="58">
        <v>460000</v>
      </c>
      <c r="H20" s="58">
        <v>530000</v>
      </c>
      <c r="I20" s="58">
        <v>530000</v>
      </c>
      <c r="J20" s="58">
        <v>530000</v>
      </c>
      <c r="K20" s="58">
        <v>530000</v>
      </c>
      <c r="L20" s="58">
        <v>610273</v>
      </c>
      <c r="M20" s="58">
        <v>639139</v>
      </c>
      <c r="N20" s="58">
        <v>639139</v>
      </c>
      <c r="O20" s="58">
        <v>639139</v>
      </c>
      <c r="P20" s="58">
        <v>639139</v>
      </c>
      <c r="Q20" s="58">
        <v>639139</v>
      </c>
      <c r="R20" s="58">
        <v>1631584</v>
      </c>
      <c r="S20" s="58">
        <v>1631584</v>
      </c>
      <c r="T20" s="58">
        <v>1631584</v>
      </c>
      <c r="U20" s="58">
        <v>1631584</v>
      </c>
      <c r="V20" s="58">
        <v>1631584</v>
      </c>
      <c r="W20" s="58">
        <v>1631584</v>
      </c>
      <c r="X20" s="58">
        <v>1631584</v>
      </c>
      <c r="Y20" s="58">
        <v>1631584</v>
      </c>
      <c r="Z20" s="58">
        <v>1631584</v>
      </c>
      <c r="AA20" s="58">
        <v>1631584</v>
      </c>
      <c r="AB20" s="58">
        <v>1631584</v>
      </c>
      <c r="AC20" s="58">
        <v>1631584</v>
      </c>
      <c r="AD20" s="58">
        <v>1631584</v>
      </c>
      <c r="AE20" s="58">
        <v>1631584</v>
      </c>
      <c r="AF20" s="58">
        <v>1631584</v>
      </c>
      <c r="AG20" s="58">
        <v>1631584</v>
      </c>
      <c r="AH20" s="58">
        <v>1631584</v>
      </c>
      <c r="AI20" s="58">
        <v>1631584</v>
      </c>
      <c r="AJ20" s="58">
        <v>1631584</v>
      </c>
      <c r="AL20" s="58">
        <f>SUM(G20:AI20)</f>
        <v>35754480</v>
      </c>
      <c r="AM20" s="58">
        <f>SUM(K20:AJ20)</f>
        <v>35336064</v>
      </c>
      <c r="AN20" s="58">
        <f>SUM(AE20:AJ20)</f>
        <v>9789504</v>
      </c>
    </row>
    <row r="21" spans="6:40" x14ac:dyDescent="0.3">
      <c r="F21" s="50" t="s">
        <v>89</v>
      </c>
      <c r="G21" s="51">
        <v>0.39423913043478259</v>
      </c>
      <c r="H21" s="51">
        <v>0.68283018867924528</v>
      </c>
      <c r="I21" s="51">
        <v>1</v>
      </c>
      <c r="J21" s="51">
        <v>1.1000000000000001</v>
      </c>
      <c r="K21" s="51">
        <v>1.5</v>
      </c>
      <c r="L21" s="51">
        <v>1.74</v>
      </c>
      <c r="M21" s="51">
        <v>1.1499999999999999</v>
      </c>
      <c r="N21" s="51">
        <v>1.1499999999999999</v>
      </c>
      <c r="O21" s="51">
        <v>1.1499999999999999</v>
      </c>
      <c r="P21" s="51">
        <v>1.35</v>
      </c>
      <c r="Q21" s="51">
        <v>1.35</v>
      </c>
      <c r="R21" s="51">
        <v>1.1499999999999999</v>
      </c>
      <c r="S21" s="51">
        <v>1</v>
      </c>
      <c r="T21" s="51">
        <v>1</v>
      </c>
      <c r="U21" s="51">
        <v>1</v>
      </c>
      <c r="V21" s="51">
        <v>1</v>
      </c>
      <c r="W21" s="51">
        <v>1</v>
      </c>
      <c r="X21" s="51">
        <v>1.1681447</v>
      </c>
      <c r="Y21" s="51">
        <v>0.95</v>
      </c>
      <c r="Z21" s="51">
        <v>1</v>
      </c>
      <c r="AA21" s="51">
        <v>1</v>
      </c>
      <c r="AB21" s="51">
        <v>1</v>
      </c>
      <c r="AC21" s="51">
        <v>1.05</v>
      </c>
      <c r="AD21" s="51">
        <v>1.1000000000000001</v>
      </c>
      <c r="AE21" s="51">
        <v>1</v>
      </c>
      <c r="AF21" s="51">
        <v>1</v>
      </c>
      <c r="AG21" s="51">
        <v>1</v>
      </c>
      <c r="AH21" s="51">
        <v>1</v>
      </c>
      <c r="AI21" s="51">
        <v>1</v>
      </c>
      <c r="AJ21" s="51">
        <v>1.1000000000000001</v>
      </c>
      <c r="AL21" s="51">
        <f>SUM(G21:AI21)</f>
        <v>30.985214019114029</v>
      </c>
      <c r="AM21" s="51">
        <f>SUM(K21:AJ21)</f>
        <v>28.908144700000005</v>
      </c>
      <c r="AN21" s="51">
        <f>SUM(AE21:AJ21)</f>
        <v>6.1</v>
      </c>
    </row>
    <row r="23" spans="6:40" s="42" customFormat="1" ht="14.25" x14ac:dyDescent="0.3">
      <c r="F23" s="55" t="s">
        <v>87</v>
      </c>
      <c r="G23" s="59" t="s">
        <v>54</v>
      </c>
      <c r="H23" s="59" t="s">
        <v>54</v>
      </c>
      <c r="I23" s="59" t="s">
        <v>54</v>
      </c>
      <c r="J23" s="59" t="s">
        <v>54</v>
      </c>
      <c r="K23" s="59">
        <v>100</v>
      </c>
      <c r="L23" s="59">
        <v>100</v>
      </c>
      <c r="M23" s="59">
        <v>99.949999999999989</v>
      </c>
      <c r="N23" s="59">
        <v>99.9</v>
      </c>
      <c r="O23" s="59">
        <v>99.5</v>
      </c>
      <c r="P23" s="59">
        <v>99</v>
      </c>
      <c r="Q23" s="59">
        <v>103.4</v>
      </c>
      <c r="R23" s="59">
        <v>102</v>
      </c>
      <c r="S23" s="59">
        <v>99</v>
      </c>
      <c r="T23" s="59">
        <v>92.99</v>
      </c>
      <c r="U23" s="59">
        <v>85.99</v>
      </c>
      <c r="V23" s="59">
        <v>8.6999999999999993</v>
      </c>
      <c r="W23" s="59">
        <v>8.6300000000000008</v>
      </c>
      <c r="X23" s="59">
        <v>8.92</v>
      </c>
      <c r="Y23" s="59">
        <v>8.4600000000000009</v>
      </c>
      <c r="Z23" s="59">
        <v>8.15</v>
      </c>
      <c r="AA23" s="59">
        <v>8.0399999999999991</v>
      </c>
      <c r="AB23" s="59">
        <v>8.32</v>
      </c>
      <c r="AC23" s="59">
        <v>8.6999999999999993</v>
      </c>
      <c r="AD23" s="59">
        <v>9</v>
      </c>
      <c r="AE23" s="59">
        <v>9.1199999999999992</v>
      </c>
      <c r="AF23" s="59">
        <v>9.4</v>
      </c>
      <c r="AG23" s="59">
        <v>9.5500000000000007</v>
      </c>
      <c r="AH23" s="59">
        <v>9.2799999999999994</v>
      </c>
      <c r="AI23" s="59">
        <v>9.3300000000000018</v>
      </c>
      <c r="AJ23" s="59">
        <f>Resumo!$C$18</f>
        <v>9.7799999999999994</v>
      </c>
      <c r="AL23" s="54"/>
      <c r="AM23" s="54"/>
      <c r="AN23" s="54"/>
    </row>
    <row r="24" spans="6:40" x14ac:dyDescent="0.3">
      <c r="G24" s="52"/>
    </row>
    <row r="25" spans="6:40" x14ac:dyDescent="0.3">
      <c r="G25" s="52"/>
    </row>
    <row r="26" spans="6:40" x14ac:dyDescent="0.3">
      <c r="G26" s="52"/>
      <c r="AH26" s="69"/>
      <c r="AJ26" s="74"/>
      <c r="AL26" s="68"/>
    </row>
    <row r="27" spans="6:40" x14ac:dyDescent="0.3">
      <c r="AJ27" s="75"/>
      <c r="AL27" s="68"/>
    </row>
    <row r="29" spans="6:40" x14ac:dyDescent="0.3"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76"/>
    </row>
    <row r="30" spans="6:40" x14ac:dyDescent="0.3">
      <c r="AJ30" s="76"/>
    </row>
    <row r="32" spans="6:40" x14ac:dyDescent="0.3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</row>
    <row r="33" spans="7:36" x14ac:dyDescent="0.3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3:AG13 AN14 AN18 AL9:AN13 AL19:AN21 AL18:AM18 AL15:AN17 AL14:AM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- CRIs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2024-01-15T16:55:12Z</cp:lastPrinted>
  <dcterms:created xsi:type="dcterms:W3CDTF">2023-10-11T17:28:22Z</dcterms:created>
  <dcterms:modified xsi:type="dcterms:W3CDTF">2024-02-08T21:34:31Z</dcterms:modified>
</cp:coreProperties>
</file>