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160" activeTab="2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operações'!$D$7:$Z$7</definedName>
  </definedNames>
  <calcPr calcId="162913" calcMode="manual"/>
</workbook>
</file>

<file path=xl/calcChain.xml><?xml version="1.0" encoding="utf-8"?>
<calcChain xmlns="http://schemas.openxmlformats.org/spreadsheetml/2006/main">
  <c r="N9" i="2" l="1"/>
  <c r="C12" i="2"/>
  <c r="C18" i="2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4" i="3"/>
  <c r="O25" i="3"/>
  <c r="H8" i="4"/>
  <c r="I8" i="4" s="1"/>
  <c r="J8" i="4" s="1"/>
  <c r="K8" i="4" s="1"/>
  <c r="L8" i="4" s="1"/>
  <c r="N9" i="4"/>
  <c r="O9" i="4"/>
  <c r="N10" i="4"/>
  <c r="O10" i="4"/>
  <c r="N11" i="4"/>
  <c r="O11" i="4"/>
  <c r="N12" i="4"/>
  <c r="O12" i="4"/>
  <c r="G13" i="4"/>
  <c r="N13" i="4" s="1"/>
  <c r="H13" i="4"/>
  <c r="I13" i="4"/>
  <c r="J13" i="4"/>
  <c r="K13" i="4"/>
  <c r="K17" i="4" s="1"/>
  <c r="L13" i="4"/>
  <c r="L17" i="4" s="1"/>
  <c r="N15" i="4"/>
  <c r="O15" i="4"/>
  <c r="G16" i="4"/>
  <c r="O16" i="4" s="1"/>
  <c r="H16" i="4"/>
  <c r="N16" i="4" s="1"/>
  <c r="I16" i="4"/>
  <c r="J16" i="4"/>
  <c r="K16" i="4"/>
  <c r="L16" i="4"/>
  <c r="H17" i="4"/>
  <c r="I17" i="4"/>
  <c r="J17" i="4"/>
  <c r="N19" i="4"/>
  <c r="O19" i="4"/>
  <c r="N20" i="4"/>
  <c r="O20" i="4"/>
  <c r="G21" i="4"/>
  <c r="H21" i="4"/>
  <c r="I21" i="4"/>
  <c r="L9" i="2" s="1"/>
  <c r="J21" i="4"/>
  <c r="K21" i="4"/>
  <c r="L21" i="4"/>
  <c r="J9" i="2" s="1"/>
  <c r="N21" i="4"/>
  <c r="O21" i="4"/>
  <c r="G23" i="4"/>
  <c r="G17" i="4" l="1"/>
  <c r="L12" i="2"/>
  <c r="O13" i="4"/>
  <c r="N17" i="4" l="1"/>
  <c r="O17" i="4"/>
</calcChain>
</file>

<file path=xl/sharedStrings.xml><?xml version="1.0" encoding="utf-8"?>
<sst xmlns="http://schemas.openxmlformats.org/spreadsheetml/2006/main" count="273" uniqueCount="134">
  <si>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</si>
  <si>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</si>
  <si>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</si>
  <si>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</si>
  <si>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</si>
  <si>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</si>
  <si>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</si>
  <si>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</si>
  <si>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</si>
  <si>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</si>
  <si>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</si>
  <si>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</si>
  <si>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</si>
  <si>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</si>
  <si>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</si>
  <si>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</si>
  <si>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</si>
  <si>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</si>
  <si>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</si>
  <si>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</si>
  <si>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</si>
  <si>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</si>
  <si>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</si>
  <si>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</si>
  <si>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</si>
  <si>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</si>
  <si>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</si>
  <si>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</si>
  <si>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</si>
  <si>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</si>
  <si>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</si>
  <si>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</si>
  <si>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</si>
  <si>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</si>
  <si>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</si>
  <si>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</si>
  <si>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</si>
  <si>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</si>
  <si>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</si>
  <si>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</si>
  <si>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</si>
  <si>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</si>
  <si>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</si>
  <si>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</si>
  <si>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</si>
  <si>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</si>
  <si>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Distribuição média por cota (base 100)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</si>
  <si>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</si>
  <si>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</si>
  <si>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</si>
  <si>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</si>
  <si>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</si>
  <si>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</si>
  <si>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</si>
  <si>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</si>
  <si>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</si>
  <si>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</si>
  <si>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</si>
  <si>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</si>
  <si>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</si>
  <si>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</si>
  <si>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</si>
  <si>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</si>
  <si>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</si>
  <si>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</si>
  <si>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</si>
  <si>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</si>
  <si>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</si>
  <si>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</si>
  <si>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</si>
  <si>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</si>
  <si>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</si>
  <si>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</si>
  <si>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</si>
  <si>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</si>
  <si>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</si>
  <si>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</si>
  <si>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</si>
  <si>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</si>
  <si>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</si>
  <si>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</si>
  <si>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</si>
  <si>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</si>
  <si>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</si>
  <si>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</si>
  <si>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</si>
  <si>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</si>
  <si>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</si>
  <si>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</si>
  <si>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</si>
  <si>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</si>
  <si>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</si>
  <si>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</si>
  <si>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</si>
  <si>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</si>
  <si>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</si>
  <si>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</si>
  <si>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</si>
  <si>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</si>
  <si>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</si>
  <si>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</si>
  <si>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</si>
  <si>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Yield médio anualizado desde o início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</si>
  <si>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</si>
  <si>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</si>
  <si>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</si>
  <si>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</si>
  <si>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</si>
  <si>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</si>
  <si>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</si>
  <si>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</si>
  <si>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</si>
  <si>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</si>
  <si>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</si>
  <si>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</si>
  <si>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Giro de Estoque</t>
  </si>
  <si>
    <t>Permuta financeira</t>
  </si>
  <si>
    <t>Habitasec</t>
  </si>
  <si>
    <t>Somos - Level Home Resort</t>
  </si>
  <si>
    <t>Daxo</t>
  </si>
  <si>
    <t>24E2191109</t>
  </si>
  <si>
    <t>Acompanhamento</t>
  </si>
  <si>
    <t>Klabin</t>
  </si>
  <si>
    <t>24F2263347</t>
  </si>
  <si>
    <t>LFT¹</t>
  </si>
  <si>
    <t>Neo - Financeiro</t>
  </si>
  <si>
    <t>Planeta - Financeiro</t>
  </si>
  <si>
    <t>CTE - Obra / Monitori - Financeiro</t>
  </si>
  <si>
    <t>CCC - Obra / CCC - Financeiro</t>
  </si>
  <si>
    <t>PGB - Obra</t>
  </si>
  <si>
    <t>CCC - Obra / OPEA - Financeiro</t>
  </si>
  <si>
    <t>CCC - Obra / Monitori - Financeiro</t>
  </si>
  <si>
    <t>¹ Valor líquido de dividendos pago no montante de R$ 1.807.823,13.</t>
  </si>
  <si>
    <t>Compass -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</si>
</sst>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0" formatCode="#,##0.000"/>
    <numFmt numFmtId="172" formatCode="#,##0.0"/>
    <numFmt numFmtId="180" formatCode="&quot;R$&quot;\ #,##0.000;[Red]\-&quot;R$&quot;\ #,##0.000"/>
    <numFmt numFmtId="182" formatCode="0.000"/>
  </numFmts>
  <fonts count="17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b/>
      <sz val="16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sz val="7"/>
      <color theme="1"/>
      <name val="Darker Grotesque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168" fontId="6" fillId="0" borderId="0" xfId="2" applyNumberFormat="1" applyFont="1" applyAlignment="1">
      <alignment horizontal="left" vertical="center"/>
    </xf>
    <xf numFmtId="8" fontId="6" fillId="0" borderId="0" xfId="0" applyNumberFormat="1" applyFont="1" applyAlignment="1">
      <alignment horizontal="left" vertical="center"/>
    </xf>
    <xf numFmtId="3" fontId="6" fillId="0" borderId="10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4" fontId="6" fillId="0" borderId="10" xfId="0" applyNumberFormat="1" applyFont="1" applyBorder="1" applyAlignment="1">
      <alignment horizontal="left" vertical="center" wrapText="1"/>
    </xf>
    <xf numFmtId="8" fontId="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horizontal="center" vertical="center" readingOrder="1"/>
    </xf>
    <xf numFmtId="10" fontId="11" fillId="0" borderId="0" xfId="0" applyNumberFormat="1" applyFont="1" applyFill="1" applyBorder="1" applyAlignment="1">
      <alignment horizontal="center" vertical="center" readingOrder="1"/>
    </xf>
    <xf numFmtId="3" fontId="11" fillId="0" borderId="0" xfId="0" applyNumberFormat="1" applyFont="1" applyFill="1" applyBorder="1" applyAlignment="1">
      <alignment horizontal="center" vertical="center" readingOrder="1"/>
    </xf>
    <xf numFmtId="17" fontId="11" fillId="0" borderId="0" xfId="0" applyNumberFormat="1" applyFont="1" applyFill="1" applyBorder="1" applyAlignment="1">
      <alignment horizontal="center" vertical="center" readingOrder="1"/>
    </xf>
    <xf numFmtId="10" fontId="11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2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readingOrder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center"/>
    </xf>
    <xf numFmtId="0" fontId="13" fillId="3" borderId="1" xfId="0" applyFont="1" applyFill="1" applyBorder="1" applyAlignment="1">
      <alignment vertical="center"/>
    </xf>
    <xf numFmtId="17" fontId="13" fillId="3" borderId="1" xfId="0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3" fontId="5" fillId="0" borderId="0" xfId="0" applyNumberFormat="1" applyFont="1"/>
    <xf numFmtId="3" fontId="14" fillId="5" borderId="0" xfId="0" applyNumberFormat="1" applyFont="1" applyFill="1" applyBorder="1" applyAlignment="1">
      <alignment horizontal="left" vertical="center"/>
    </xf>
    <xf numFmtId="3" fontId="14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center" vertical="center"/>
    </xf>
    <xf numFmtId="4" fontId="14" fillId="5" borderId="0" xfId="0" applyNumberFormat="1" applyFont="1" applyFill="1" applyBorder="1" applyAlignment="1">
      <alignment horizontal="center" vertical="center"/>
    </xf>
    <xf numFmtId="10" fontId="6" fillId="0" borderId="0" xfId="2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10" fontId="6" fillId="0" borderId="10" xfId="0" applyNumberFormat="1" applyFont="1" applyBorder="1" applyAlignment="1">
      <alignment horizontal="left" vertical="center"/>
    </xf>
    <xf numFmtId="10" fontId="6" fillId="0" borderId="10" xfId="2" applyNumberFormat="1" applyFont="1" applyBorder="1" applyAlignment="1">
      <alignment horizontal="left" vertical="center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11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Alignment="1">
      <alignment horizontal="center"/>
    </xf>
    <xf numFmtId="4" fontId="5" fillId="0" borderId="0" xfId="0" applyNumberFormat="1" applyFont="1"/>
    <xf numFmtId="10" fontId="5" fillId="0" borderId="0" xfId="0" applyNumberFormat="1" applyFont="1"/>
    <xf numFmtId="168" fontId="6" fillId="0" borderId="0" xfId="2" applyNumberFormat="1" applyFont="1" applyAlignment="1">
      <alignment horizontal="left" vertical="center" wrapText="1"/>
    </xf>
    <xf numFmtId="10" fontId="10" fillId="0" borderId="0" xfId="0" applyNumberFormat="1" applyFont="1" applyAlignment="1">
      <alignment horizontal="center"/>
    </xf>
    <xf numFmtId="10" fontId="6" fillId="0" borderId="0" xfId="1" applyNumberFormat="1" applyFont="1" applyFill="1" applyAlignment="1">
      <alignment horizontal="left" vertic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vertical="center"/>
    </xf>
    <xf numFmtId="10" fontId="6" fillId="0" borderId="0" xfId="2" applyNumberFormat="1" applyFont="1" applyFill="1" applyAlignment="1">
      <alignment horizontal="left" vertical="center"/>
    </xf>
    <xf numFmtId="10" fontId="12" fillId="2" borderId="11" xfId="0" applyNumberFormat="1" applyFont="1" applyFill="1" applyBorder="1" applyAlignment="1">
      <alignment horizontal="center" vertical="center" readingOrder="1"/>
    </xf>
    <xf numFmtId="17" fontId="13" fillId="3" borderId="0" xfId="0" applyNumberFormat="1" applyFont="1" applyFill="1" applyBorder="1" applyAlignment="1">
      <alignment horizontal="center"/>
    </xf>
    <xf numFmtId="170" fontId="14" fillId="4" borderId="0" xfId="0" applyNumberFormat="1" applyFont="1" applyFill="1" applyBorder="1" applyAlignment="1">
      <alignment horizontal="center" vertical="center"/>
    </xf>
    <xf numFmtId="3" fontId="12" fillId="2" borderId="11" xfId="0" applyNumberFormat="1" applyFont="1" applyFill="1" applyBorder="1" applyAlignment="1">
      <alignment horizontal="center" vertical="center" readingOrder="1"/>
    </xf>
    <xf numFmtId="180" fontId="6" fillId="0" borderId="0" xfId="0" applyNumberFormat="1" applyFont="1" applyAlignment="1">
      <alignment horizontal="left" vertical="center"/>
    </xf>
    <xf numFmtId="182" fontId="7" fillId="0" borderId="0" xfId="0" applyNumberFormat="1" applyFont="1"/>
    <xf numFmtId="182" fontId="5" fillId="0" borderId="0" xfId="0" applyNumberFormat="1" applyFont="1"/>
    <xf numFmtId="182" fontId="10" fillId="0" borderId="0" xfId="0" applyNumberFormat="1" applyFont="1"/>
    <xf numFmtId="0" fontId="11" fillId="0" borderId="0" xfId="0" quotePrefix="1" applyFont="1" applyFill="1" applyBorder="1" applyAlignment="1">
      <alignment horizontal="center" vertical="center" readingOrder="1"/>
    </xf>
    <xf numFmtId="9" fontId="11" fillId="0" borderId="0" xfId="0" applyNumberFormat="1" applyFont="1" applyFill="1" applyBorder="1" applyAlignment="1">
      <alignment horizontal="center" vertical="center" readingOrder="1"/>
    </xf>
    <xf numFmtId="172" fontId="5" fillId="0" borderId="0" xfId="0" applyNumberFormat="1" applyFont="1" applyAlignment="1">
      <alignment horizontal="center"/>
    </xf>
    <xf numFmtId="0" fontId="16" fillId="0" borderId="0" xfId="0" applyFont="1" applyAlignment="1"/>
    <xf numFmtId="3" fontId="3" fillId="0" borderId="1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196850</xdr:rowOff>
    </xdr:from>
    <xdr:to>
      <xdr:col>2</xdr:col>
      <xdr:colOff>1549400</xdr:colOff>
      <xdr:row>3</xdr:row>
      <xdr:rowOff>158750</xdr:rowOff>
    </xdr:to>
    <xdr:pic>
      <xdr:nvPicPr>
        <xdr:cNvPr id="12647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00050"/>
          <a:ext cx="1498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4</xdr:row>
      <xdr:rowOff>69850</xdr:rowOff>
    </xdr:from>
    <xdr:to>
      <xdr:col>2</xdr:col>
      <xdr:colOff>1416050</xdr:colOff>
      <xdr:row>7</xdr:row>
      <xdr:rowOff>38100</xdr:rowOff>
    </xdr:to>
    <xdr:grpSp>
      <xdr:nvGrpSpPr>
        <xdr:cNvPr id="12648" name="Agrupar 11"/>
        <xdr:cNvGrpSpPr>
          <a:grpSpLocks/>
        </xdr:cNvGrpSpPr>
      </xdr:nvGrpSpPr>
      <xdr:grpSpPr bwMode="auto">
        <a:xfrm>
          <a:off x="577022" y="975415"/>
          <a:ext cx="1225550" cy="559076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173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12651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132773</xdr:rowOff>
    </xdr:from>
    <xdr:to>
      <xdr:col>14</xdr:col>
      <xdr:colOff>1</xdr:colOff>
      <xdr:row>20</xdr:row>
      <xdr:rowOff>132773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95250</xdr:rowOff>
    </xdr:from>
    <xdr:to>
      <xdr:col>3</xdr:col>
      <xdr:colOff>152400</xdr:colOff>
      <xdr:row>2</xdr:row>
      <xdr:rowOff>146050</xdr:rowOff>
    </xdr:to>
    <xdr:pic>
      <xdr:nvPicPr>
        <xdr:cNvPr id="11707" name="Imagem 1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95250"/>
          <a:ext cx="1492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3</xdr:row>
      <xdr:rowOff>44450</xdr:rowOff>
    </xdr:from>
    <xdr:to>
      <xdr:col>3</xdr:col>
      <xdr:colOff>19050</xdr:colOff>
      <xdr:row>5</xdr:row>
      <xdr:rowOff>203200</xdr:rowOff>
    </xdr:to>
    <xdr:grpSp>
      <xdr:nvGrpSpPr>
        <xdr:cNvPr id="11708" name="Agrupar 16"/>
        <xdr:cNvGrpSpPr>
          <a:grpSpLocks/>
        </xdr:cNvGrpSpPr>
      </xdr:nvGrpSpPr>
      <xdr:grpSpPr bwMode="auto">
        <a:xfrm>
          <a:off x="203200" y="662956"/>
          <a:ext cx="1226045" cy="571088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48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11710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95250</xdr:rowOff>
    </xdr:from>
    <xdr:to>
      <xdr:col>3</xdr:col>
      <xdr:colOff>152400</xdr:colOff>
      <xdr:row>2</xdr:row>
      <xdr:rowOff>146050</xdr:rowOff>
    </xdr:to>
    <xdr:pic>
      <xdr:nvPicPr>
        <xdr:cNvPr id="13584" name="Imagem 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95250"/>
          <a:ext cx="1492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3</xdr:row>
      <xdr:rowOff>44450</xdr:rowOff>
    </xdr:from>
    <xdr:to>
      <xdr:col>3</xdr:col>
      <xdr:colOff>19050</xdr:colOff>
      <xdr:row>5</xdr:row>
      <xdr:rowOff>184150</xdr:rowOff>
    </xdr:to>
    <xdr:grpSp>
      <xdr:nvGrpSpPr>
        <xdr:cNvPr id="13585" name="Agrupar 6"/>
        <xdr:cNvGrpSpPr>
          <a:grpSpLocks/>
        </xdr:cNvGrpSpPr>
      </xdr:nvGrpSpPr>
      <xdr:grpSpPr bwMode="auto">
        <a:xfrm>
          <a:off x="203200" y="659912"/>
          <a:ext cx="1222619" cy="550007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4338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13587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zoomScale="115" zoomScaleNormal="115" workbookViewId="0"/>
  </sheetViews>
  <sheetFormatPr defaultColWidth="9.1796875" defaultRowHeight="16" x14ac:dyDescent="0.45"/>
  <cols>
    <col min="1" max="1" width="3.26953125" style="4" customWidth="1"/>
    <col min="2" max="2" width="2.26953125" style="4" customWidth="1"/>
    <col min="3" max="3" width="27.1796875" style="4" customWidth="1"/>
    <col min="4" max="4" width="10.7265625" style="4" customWidth="1"/>
    <col min="5" max="5" width="27" style="4" customWidth="1"/>
    <col min="6" max="6" width="10.7265625" style="4" bestFit="1" customWidth="1"/>
    <col min="7" max="7" width="29.81640625" style="4" customWidth="1"/>
    <col min="8" max="8" width="3.26953125" style="4" customWidth="1"/>
    <col min="9" max="9" width="2.26953125" style="4" customWidth="1"/>
    <col min="10" max="10" width="27.1796875" style="4" customWidth="1"/>
    <col min="11" max="11" width="10.7265625" style="4" customWidth="1"/>
    <col min="12" max="12" width="27" style="4" customWidth="1"/>
    <col min="13" max="13" width="10.7265625" style="4" customWidth="1"/>
    <col min="14" max="14" width="29.81640625" style="4" customWidth="1"/>
    <col min="15" max="16384" width="9.1796875" style="4"/>
  </cols>
  <sheetData>
    <row r="1" spans="1:14" x14ac:dyDescent="0.45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45">
      <c r="A2" s="5"/>
      <c r="G2" s="6"/>
      <c r="H2" s="5"/>
      <c r="N2" s="6"/>
    </row>
    <row r="3" spans="1:14" ht="23" x14ac:dyDescent="0.6">
      <c r="A3" s="5"/>
      <c r="E3" s="7" t="s">
        <v>16</v>
      </c>
      <c r="G3" s="6"/>
      <c r="H3" s="5"/>
      <c r="J3" s="7" t="s">
        <v>48</v>
      </c>
      <c r="L3" s="7"/>
      <c r="N3" s="6"/>
    </row>
    <row r="4" spans="1:14" x14ac:dyDescent="0.45">
      <c r="A4" s="5"/>
      <c r="G4" s="6"/>
      <c r="H4" s="5"/>
      <c r="N4" s="6"/>
    </row>
    <row r="5" spans="1:14" ht="14.5" customHeight="1" x14ac:dyDescent="0.45">
      <c r="A5" s="5"/>
      <c r="E5" s="85" t="s">
        <v>21</v>
      </c>
      <c r="F5" s="85"/>
      <c r="G5" s="86"/>
      <c r="H5" s="5"/>
      <c r="L5" s="85"/>
      <c r="M5" s="85"/>
      <c r="N5" s="86"/>
    </row>
    <row r="6" spans="1:14" x14ac:dyDescent="0.45">
      <c r="A6" s="5"/>
      <c r="E6" s="85"/>
      <c r="F6" s="85"/>
      <c r="G6" s="86"/>
      <c r="H6" s="5"/>
      <c r="L6" s="85"/>
      <c r="M6" s="85"/>
      <c r="N6" s="86"/>
    </row>
    <row r="7" spans="1:14" x14ac:dyDescent="0.45">
      <c r="A7" s="5"/>
      <c r="E7" s="85"/>
      <c r="F7" s="85"/>
      <c r="G7" s="86"/>
      <c r="H7" s="5"/>
      <c r="L7" s="85"/>
      <c r="M7" s="85"/>
      <c r="N7" s="86"/>
    </row>
    <row r="8" spans="1:14" x14ac:dyDescent="0.45">
      <c r="A8" s="5"/>
      <c r="G8" s="14"/>
      <c r="H8" s="5"/>
      <c r="N8" s="14"/>
    </row>
    <row r="9" spans="1:14" ht="36" customHeight="1" x14ac:dyDescent="0.45">
      <c r="A9" s="5"/>
      <c r="C9" s="64">
        <v>207233252.12</v>
      </c>
      <c r="D9" s="22"/>
      <c r="E9" s="76">
        <v>8.5999999999999993E-2</v>
      </c>
      <c r="F9" s="22"/>
      <c r="G9" s="84">
        <v>4186</v>
      </c>
      <c r="H9" s="5"/>
      <c r="J9" s="66">
        <f>((1+DRE!L21/DRE!L23)^12-1)</f>
        <v>0.10983511209803254</v>
      </c>
      <c r="K9" s="22"/>
      <c r="L9" s="66">
        <f>((1+AVERAGE(DRE!G21:L21)/DRE!L23)^12-1)</f>
        <v>9.8497802762910203E-2</v>
      </c>
      <c r="M9" s="56"/>
      <c r="N9" s="57">
        <f>N12/(1+22.5%)</f>
        <v>1.0236003051256417</v>
      </c>
    </row>
    <row r="10" spans="1:14" x14ac:dyDescent="0.45">
      <c r="A10" s="5"/>
      <c r="C10" s="9" t="s">
        <v>17</v>
      </c>
      <c r="D10" s="10"/>
      <c r="E10" s="9" t="s">
        <v>47</v>
      </c>
      <c r="F10" s="10"/>
      <c r="G10" s="18" t="s">
        <v>18</v>
      </c>
      <c r="H10" s="5"/>
      <c r="J10" s="9" t="s">
        <v>45</v>
      </c>
      <c r="K10" s="10"/>
      <c r="L10" s="9" t="s">
        <v>102</v>
      </c>
      <c r="M10" s="10"/>
      <c r="N10" s="18" t="s">
        <v>52</v>
      </c>
    </row>
    <row r="11" spans="1:14" x14ac:dyDescent="0.45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45">
      <c r="A12" s="5"/>
      <c r="C12" s="15">
        <f>C9/21021208</f>
        <v>9.8582941627331788</v>
      </c>
      <c r="D12" s="10"/>
      <c r="E12" s="16" t="s">
        <v>81</v>
      </c>
      <c r="F12" s="10"/>
      <c r="G12" s="71">
        <v>0.89659999999999995</v>
      </c>
      <c r="H12" s="5"/>
      <c r="J12" s="55">
        <v>4.7399463062019143E-2</v>
      </c>
      <c r="K12" s="10"/>
      <c r="L12" s="15">
        <f>AVERAGE(DRE!G21:L21)</f>
        <v>7.7493272508411495E-2</v>
      </c>
      <c r="M12" s="10"/>
      <c r="N12" s="58">
        <v>1.2539103737789112</v>
      </c>
    </row>
    <row r="13" spans="1:14" x14ac:dyDescent="0.45">
      <c r="A13" s="5"/>
      <c r="C13" s="9" t="s">
        <v>50</v>
      </c>
      <c r="D13" s="10"/>
      <c r="E13" s="9" t="s">
        <v>24</v>
      </c>
      <c r="F13" s="10"/>
      <c r="G13" s="4" t="s">
        <v>83</v>
      </c>
      <c r="H13" s="5"/>
      <c r="J13" s="9" t="s">
        <v>49</v>
      </c>
      <c r="K13" s="10"/>
      <c r="L13" s="9" t="s">
        <v>82</v>
      </c>
      <c r="M13" s="10"/>
      <c r="N13" s="18" t="s">
        <v>53</v>
      </c>
    </row>
    <row r="14" spans="1:14" x14ac:dyDescent="0.45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4" x14ac:dyDescent="0.45">
      <c r="A15" s="5"/>
      <c r="C15" s="64">
        <v>207233252.12</v>
      </c>
      <c r="D15" s="10"/>
      <c r="E15" s="21" t="s">
        <v>26</v>
      </c>
      <c r="F15" s="10"/>
      <c r="G15" s="20">
        <v>45295</v>
      </c>
      <c r="H15" s="5"/>
      <c r="J15" s="71">
        <v>0.05</v>
      </c>
      <c r="K15" s="70"/>
      <c r="L15" s="71">
        <v>0.10102016527534965</v>
      </c>
      <c r="M15" s="10"/>
      <c r="N15" s="58">
        <v>0.22065440342133796</v>
      </c>
    </row>
    <row r="16" spans="1:14" x14ac:dyDescent="0.45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54</v>
      </c>
      <c r="K16" s="10"/>
      <c r="L16" s="9" t="s">
        <v>56</v>
      </c>
      <c r="M16" s="10"/>
      <c r="N16" s="18" t="s">
        <v>55</v>
      </c>
    </row>
    <row r="17" spans="1:14" x14ac:dyDescent="0.45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3" x14ac:dyDescent="0.45">
      <c r="A18" s="5"/>
      <c r="C18" s="15">
        <f>C15/21021208</f>
        <v>9.8582941627331788</v>
      </c>
      <c r="D18" s="10"/>
      <c r="E18" s="16"/>
      <c r="F18" s="10"/>
      <c r="G18" s="17"/>
      <c r="H18" s="5"/>
      <c r="J18" s="71">
        <v>9.2999999999999999E-2</v>
      </c>
      <c r="K18" s="10"/>
      <c r="L18" s="16"/>
      <c r="M18" s="10"/>
      <c r="N18" s="17"/>
    </row>
    <row r="19" spans="1:14" x14ac:dyDescent="0.45">
      <c r="A19" s="5"/>
      <c r="C19" s="9" t="s">
        <v>51</v>
      </c>
      <c r="D19" s="10"/>
      <c r="E19" s="9" t="s">
        <v>23</v>
      </c>
      <c r="F19" s="23">
        <v>45471</v>
      </c>
      <c r="G19" s="18"/>
      <c r="H19" s="5"/>
      <c r="J19" s="9" t="s">
        <v>103</v>
      </c>
      <c r="K19" s="10"/>
      <c r="L19" s="9"/>
      <c r="M19" s="23"/>
      <c r="N19" s="18"/>
    </row>
    <row r="20" spans="1:14" x14ac:dyDescent="0.45">
      <c r="A20" s="5"/>
      <c r="G20" s="14"/>
      <c r="H20" s="5"/>
      <c r="N20" s="14"/>
    </row>
    <row r="21" spans="1:14" x14ac:dyDescent="0.45">
      <c r="A21" s="5"/>
      <c r="G21" s="6"/>
      <c r="H21" s="5"/>
      <c r="N21" s="6"/>
    </row>
    <row r="22" spans="1:14" x14ac:dyDescent="0.45">
      <c r="A22" s="5"/>
      <c r="G22" s="6"/>
      <c r="H22" s="5"/>
      <c r="N22" s="6"/>
    </row>
    <row r="23" spans="1:14" x14ac:dyDescent="0.45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Z45"/>
  <sheetViews>
    <sheetView showGridLines="0" zoomScale="77" zoomScaleNormal="115" workbookViewId="0"/>
  </sheetViews>
  <sheetFormatPr defaultColWidth="9.1796875" defaultRowHeight="16" x14ac:dyDescent="0.45"/>
  <cols>
    <col min="1" max="3" width="6.7265625" style="4" customWidth="1"/>
    <col min="4" max="4" width="11.54296875" style="67" bestFit="1" customWidth="1"/>
    <col min="5" max="5" width="12" style="4" customWidth="1"/>
    <col min="6" max="6" width="15.1796875" style="4" customWidth="1"/>
    <col min="7" max="7" width="23.54296875" style="4" customWidth="1"/>
    <col min="8" max="8" width="13.1796875" style="4" customWidth="1"/>
    <col min="9" max="9" width="23.1796875" style="4" customWidth="1"/>
    <col min="10" max="10" width="17.7265625" style="4" customWidth="1"/>
    <col min="11" max="11" width="19.54296875" style="4" customWidth="1"/>
    <col min="12" max="12" width="20.54296875" style="4" customWidth="1"/>
    <col min="13" max="13" width="19.81640625" style="47" customWidth="1"/>
    <col min="14" max="14" width="18.7265625" style="4" customWidth="1"/>
    <col min="15" max="15" width="21.26953125" style="4" customWidth="1"/>
    <col min="16" max="16" width="18" style="4" customWidth="1"/>
    <col min="17" max="17" width="15.81640625" style="4" customWidth="1"/>
    <col min="18" max="18" width="11.7265625" style="63" customWidth="1"/>
    <col min="19" max="19" width="28.1796875" style="4" customWidth="1"/>
    <col min="20" max="20" width="27" style="4" customWidth="1"/>
    <col min="21" max="21" width="29.453125" style="4" customWidth="1"/>
    <col min="22" max="22" width="12.453125" style="4" customWidth="1"/>
    <col min="23" max="23" width="35" style="4" customWidth="1"/>
    <col min="24" max="24" width="26" style="4" bestFit="1" customWidth="1"/>
    <col min="25" max="25" width="22.7265625" style="4" bestFit="1" customWidth="1"/>
    <col min="26" max="26" width="28.1796875" style="4" bestFit="1" customWidth="1"/>
    <col min="27" max="16384" width="9.1796875" style="4"/>
  </cols>
  <sheetData>
    <row r="1" spans="4:26" x14ac:dyDescent="0.45">
      <c r="S1" s="63"/>
      <c r="W1" s="47"/>
      <c r="X1" s="62"/>
    </row>
    <row r="2" spans="4:26" x14ac:dyDescent="0.45">
      <c r="S2" s="63"/>
      <c r="W2" s="47"/>
      <c r="X2" s="62"/>
    </row>
    <row r="3" spans="4:26" x14ac:dyDescent="0.45">
      <c r="S3" s="63"/>
      <c r="W3" s="47"/>
    </row>
    <row r="6" spans="4:26" ht="16.5" thickBot="1" x14ac:dyDescent="0.5">
      <c r="N6" s="47"/>
    </row>
    <row r="7" spans="4:26" x14ac:dyDescent="0.45">
      <c r="E7" s="35" t="s">
        <v>1</v>
      </c>
      <c r="F7" s="36" t="s">
        <v>65</v>
      </c>
      <c r="G7" s="36" t="s">
        <v>66</v>
      </c>
      <c r="H7" s="36" t="s">
        <v>68</v>
      </c>
      <c r="I7" s="36" t="s">
        <v>69</v>
      </c>
      <c r="J7" s="36" t="s">
        <v>70</v>
      </c>
      <c r="K7" s="36" t="s">
        <v>101</v>
      </c>
      <c r="L7" s="36" t="s">
        <v>71</v>
      </c>
      <c r="M7" s="75" t="s">
        <v>72</v>
      </c>
      <c r="N7" s="36" t="s">
        <v>73</v>
      </c>
      <c r="O7" s="36" t="s">
        <v>74</v>
      </c>
      <c r="P7" s="36" t="s">
        <v>0</v>
      </c>
      <c r="Q7" s="36" t="s">
        <v>1</v>
      </c>
      <c r="R7" s="72" t="s">
        <v>20</v>
      </c>
      <c r="S7" s="36" t="s">
        <v>28</v>
      </c>
      <c r="T7" s="36" t="s">
        <v>29</v>
      </c>
      <c r="U7" s="36" t="s">
        <v>27</v>
      </c>
      <c r="V7" s="36" t="s">
        <v>57</v>
      </c>
      <c r="W7" s="36" t="s">
        <v>59</v>
      </c>
      <c r="X7" s="36" t="s">
        <v>75</v>
      </c>
      <c r="Y7" s="36" t="s">
        <v>76</v>
      </c>
      <c r="Z7" s="36" t="s">
        <v>121</v>
      </c>
    </row>
    <row r="8" spans="4:26" x14ac:dyDescent="0.45">
      <c r="D8" s="82"/>
      <c r="E8" s="37" t="s">
        <v>79</v>
      </c>
      <c r="F8" s="37" t="s">
        <v>84</v>
      </c>
      <c r="G8" s="25" t="s">
        <v>86</v>
      </c>
      <c r="H8" s="24" t="s">
        <v>3</v>
      </c>
      <c r="I8" s="30">
        <v>9.5000000000000001E-2</v>
      </c>
      <c r="J8" s="30">
        <v>9.3760048177419453E-2</v>
      </c>
      <c r="K8" s="31">
        <v>24250</v>
      </c>
      <c r="L8" s="31">
        <v>24250000</v>
      </c>
      <c r="M8" s="31">
        <v>22710345.1819975</v>
      </c>
      <c r="N8" s="31">
        <v>22998542.690249998</v>
      </c>
      <c r="O8" s="33">
        <f t="shared" ref="O8:O22" si="0">N8/SUM($N:$N)</f>
        <v>0.11085391708085711</v>
      </c>
      <c r="P8" s="24" t="s">
        <v>2</v>
      </c>
      <c r="Q8" s="29" t="s">
        <v>99</v>
      </c>
      <c r="R8" s="30">
        <v>0.34154929577464788</v>
      </c>
      <c r="S8" s="29" t="s">
        <v>4</v>
      </c>
      <c r="T8" s="60">
        <v>4</v>
      </c>
      <c r="U8" s="32">
        <v>49232</v>
      </c>
      <c r="V8" s="37" t="s">
        <v>15</v>
      </c>
      <c r="W8" s="65">
        <v>0.34677400232768196</v>
      </c>
      <c r="X8" s="25" t="s">
        <v>67</v>
      </c>
      <c r="Y8" s="25" t="s">
        <v>62</v>
      </c>
      <c r="Z8" s="25" t="s">
        <v>15</v>
      </c>
    </row>
    <row r="9" spans="4:26" x14ac:dyDescent="0.45">
      <c r="D9" s="82"/>
      <c r="E9" s="37" t="s">
        <v>79</v>
      </c>
      <c r="F9" s="37" t="s">
        <v>92</v>
      </c>
      <c r="G9" s="25" t="s">
        <v>80</v>
      </c>
      <c r="H9" s="24" t="s">
        <v>3</v>
      </c>
      <c r="I9" s="30">
        <v>0.1007</v>
      </c>
      <c r="J9" s="30">
        <v>0.10420831087032112</v>
      </c>
      <c r="K9" s="31">
        <v>21692020</v>
      </c>
      <c r="L9" s="31">
        <v>21692020</v>
      </c>
      <c r="M9" s="31">
        <v>22118522.423474401</v>
      </c>
      <c r="N9" s="31">
        <v>21405620.259940002</v>
      </c>
      <c r="O9" s="33">
        <f t="shared" si="0"/>
        <v>0.10317596576959069</v>
      </c>
      <c r="P9" s="29" t="s">
        <v>2</v>
      </c>
      <c r="Q9" s="29" t="s">
        <v>5</v>
      </c>
      <c r="R9" s="30">
        <v>0.64530683154788249</v>
      </c>
      <c r="S9" s="29" t="s">
        <v>97</v>
      </c>
      <c r="T9" s="60">
        <v>5.1100000000000003</v>
      </c>
      <c r="U9" s="32">
        <v>49202</v>
      </c>
      <c r="V9" s="37" t="s">
        <v>30</v>
      </c>
      <c r="W9" s="65">
        <v>0.1875</v>
      </c>
      <c r="X9" s="25" t="s">
        <v>67</v>
      </c>
      <c r="Y9" s="25" t="s">
        <v>61</v>
      </c>
      <c r="Z9" s="25" t="s">
        <v>15</v>
      </c>
    </row>
    <row r="10" spans="4:26" x14ac:dyDescent="0.45">
      <c r="D10" s="82"/>
      <c r="E10" s="37" t="s">
        <v>79</v>
      </c>
      <c r="F10" s="37" t="s">
        <v>91</v>
      </c>
      <c r="G10" s="25" t="s">
        <v>12</v>
      </c>
      <c r="H10" s="24" t="s">
        <v>3</v>
      </c>
      <c r="I10" s="30">
        <v>0.109</v>
      </c>
      <c r="J10" s="30">
        <v>0.10702607113729234</v>
      </c>
      <c r="K10" s="31">
        <v>20455</v>
      </c>
      <c r="L10" s="31">
        <v>20459483.270013601</v>
      </c>
      <c r="M10" s="31">
        <v>20500088.943817899</v>
      </c>
      <c r="N10" s="31">
        <v>20860825.1545</v>
      </c>
      <c r="O10" s="33">
        <f t="shared" si="0"/>
        <v>0.10055003106329707</v>
      </c>
      <c r="P10" s="29" t="s">
        <v>2</v>
      </c>
      <c r="Q10" s="29" t="s">
        <v>98</v>
      </c>
      <c r="R10" s="30">
        <v>0.33</v>
      </c>
      <c r="S10" s="29" t="s">
        <v>4</v>
      </c>
      <c r="T10" s="60">
        <v>3</v>
      </c>
      <c r="U10" s="32">
        <v>45962</v>
      </c>
      <c r="V10" s="37" t="s">
        <v>58</v>
      </c>
      <c r="W10" s="65" t="s">
        <v>15</v>
      </c>
      <c r="X10" s="25" t="s">
        <v>67</v>
      </c>
      <c r="Y10" s="25" t="s">
        <v>62</v>
      </c>
      <c r="Z10" s="25" t="s">
        <v>127</v>
      </c>
    </row>
    <row r="11" spans="4:26" x14ac:dyDescent="0.45">
      <c r="D11" s="82"/>
      <c r="E11" s="37" t="s">
        <v>79</v>
      </c>
      <c r="F11" s="37" t="s">
        <v>104</v>
      </c>
      <c r="G11" s="25" t="s">
        <v>105</v>
      </c>
      <c r="H11" s="24" t="s">
        <v>3</v>
      </c>
      <c r="I11" s="30">
        <v>9.11E-2</v>
      </c>
      <c r="J11" s="30">
        <v>9.4320966594717559E-2</v>
      </c>
      <c r="K11" s="31">
        <v>20500</v>
      </c>
      <c r="L11" s="31">
        <v>20500000</v>
      </c>
      <c r="M11" s="31">
        <v>20647617.678379998</v>
      </c>
      <c r="N11" s="31">
        <v>19969915.059</v>
      </c>
      <c r="O11" s="33">
        <f t="shared" si="0"/>
        <v>9.6255807938676052E-2</v>
      </c>
      <c r="P11" s="80" t="s">
        <v>6</v>
      </c>
      <c r="Q11" s="29" t="s">
        <v>6</v>
      </c>
      <c r="R11" s="30">
        <v>0.61</v>
      </c>
      <c r="S11" s="29" t="s">
        <v>4</v>
      </c>
      <c r="T11" s="60">
        <v>7.63</v>
      </c>
      <c r="U11" s="32">
        <v>14305</v>
      </c>
      <c r="V11" s="39" t="s">
        <v>15</v>
      </c>
      <c r="W11" s="65">
        <v>1.9</v>
      </c>
      <c r="X11" s="25" t="s">
        <v>106</v>
      </c>
      <c r="Y11" s="25" t="s">
        <v>61</v>
      </c>
      <c r="Z11" s="25" t="s">
        <v>15</v>
      </c>
    </row>
    <row r="12" spans="4:26" x14ac:dyDescent="0.45">
      <c r="D12" s="82"/>
      <c r="E12" s="37" t="s">
        <v>79</v>
      </c>
      <c r="F12" s="37" t="s">
        <v>90</v>
      </c>
      <c r="G12" s="25" t="s">
        <v>85</v>
      </c>
      <c r="H12" s="24" t="s">
        <v>3</v>
      </c>
      <c r="I12" s="30">
        <v>9.7000000000000003E-2</v>
      </c>
      <c r="J12" s="30">
        <v>9.6203291888393716E-2</v>
      </c>
      <c r="K12" s="31">
        <v>20400</v>
      </c>
      <c r="L12" s="31">
        <v>20400000</v>
      </c>
      <c r="M12" s="31">
        <v>19258270.178555999</v>
      </c>
      <c r="N12" s="31">
        <v>19411185.194400001</v>
      </c>
      <c r="O12" s="33">
        <f t="shared" si="0"/>
        <v>9.3562707122891553E-2</v>
      </c>
      <c r="P12" s="24" t="s">
        <v>2</v>
      </c>
      <c r="Q12" s="29" t="s">
        <v>5</v>
      </c>
      <c r="R12" s="30">
        <v>0.32</v>
      </c>
      <c r="S12" s="29" t="s">
        <v>95</v>
      </c>
      <c r="T12" s="60">
        <v>4.3</v>
      </c>
      <c r="U12" s="32">
        <v>48601</v>
      </c>
      <c r="V12" s="37" t="s">
        <v>15</v>
      </c>
      <c r="W12" s="65">
        <v>0.33</v>
      </c>
      <c r="X12" s="25" t="s">
        <v>67</v>
      </c>
      <c r="Y12" s="25" t="s">
        <v>64</v>
      </c>
      <c r="Z12" s="25" t="s">
        <v>125</v>
      </c>
    </row>
    <row r="13" spans="4:26" x14ac:dyDescent="0.45">
      <c r="D13" s="82"/>
      <c r="E13" s="37" t="s">
        <v>79</v>
      </c>
      <c r="F13" s="37" t="s">
        <v>100</v>
      </c>
      <c r="G13" s="25" t="s">
        <v>87</v>
      </c>
      <c r="H13" s="24" t="s">
        <v>88</v>
      </c>
      <c r="I13" s="30">
        <v>9.2999999999999999E-2</v>
      </c>
      <c r="J13" s="30">
        <v>9.3687965824775343E-2</v>
      </c>
      <c r="K13" s="31">
        <v>21236</v>
      </c>
      <c r="L13" s="31">
        <v>21236000</v>
      </c>
      <c r="M13" s="31">
        <v>19156022.76758492</v>
      </c>
      <c r="N13" s="31">
        <v>19020930.155963998</v>
      </c>
      <c r="O13" s="33">
        <f t="shared" si="0"/>
        <v>9.168166186477128E-2</v>
      </c>
      <c r="P13" s="29" t="s">
        <v>5</v>
      </c>
      <c r="Q13" s="29" t="s">
        <v>5</v>
      </c>
      <c r="R13" s="30">
        <v>0.40373238038514991</v>
      </c>
      <c r="S13" s="29" t="s">
        <v>96</v>
      </c>
      <c r="T13" s="60">
        <v>4.0999999999999996</v>
      </c>
      <c r="U13" s="32">
        <v>49232</v>
      </c>
      <c r="V13" s="37" t="s">
        <v>30</v>
      </c>
      <c r="W13" s="65">
        <v>0.31</v>
      </c>
      <c r="X13" s="25" t="s">
        <v>89</v>
      </c>
      <c r="Y13" s="25" t="s">
        <v>61</v>
      </c>
      <c r="Z13" s="25" t="s">
        <v>126</v>
      </c>
    </row>
    <row r="14" spans="4:26" x14ac:dyDescent="0.45">
      <c r="D14" s="82"/>
      <c r="E14" s="37" t="s">
        <v>79</v>
      </c>
      <c r="F14" s="37" t="s">
        <v>107</v>
      </c>
      <c r="G14" s="25" t="s">
        <v>109</v>
      </c>
      <c r="H14" s="24" t="s">
        <v>3</v>
      </c>
      <c r="I14" s="30">
        <v>9.8000000000000004E-2</v>
      </c>
      <c r="J14" s="30">
        <v>9.8072425032996957E-2</v>
      </c>
      <c r="K14" s="31">
        <v>17307</v>
      </c>
      <c r="L14" s="31">
        <v>14500609.970000001</v>
      </c>
      <c r="M14" s="31">
        <v>14293895.635341899</v>
      </c>
      <c r="N14" s="31">
        <v>14283778.902911998</v>
      </c>
      <c r="O14" s="33">
        <f t="shared" si="0"/>
        <v>6.8848398936858499E-2</v>
      </c>
      <c r="P14" s="80" t="s">
        <v>6</v>
      </c>
      <c r="Q14" s="29" t="s">
        <v>115</v>
      </c>
      <c r="R14" s="30">
        <v>0.5</v>
      </c>
      <c r="S14" s="29" t="s">
        <v>4</v>
      </c>
      <c r="T14" s="60">
        <v>3</v>
      </c>
      <c r="U14" s="32">
        <v>47352</v>
      </c>
      <c r="V14" s="39" t="s">
        <v>58</v>
      </c>
      <c r="W14" s="65" t="s">
        <v>15</v>
      </c>
      <c r="X14" s="25" t="s">
        <v>67</v>
      </c>
      <c r="Y14" s="25" t="s">
        <v>62</v>
      </c>
      <c r="Z14" s="25" t="s">
        <v>15</v>
      </c>
    </row>
    <row r="15" spans="4:26" x14ac:dyDescent="0.45">
      <c r="D15" s="82"/>
      <c r="E15" s="37" t="s">
        <v>79</v>
      </c>
      <c r="F15" s="37" t="s">
        <v>119</v>
      </c>
      <c r="G15" s="25" t="s">
        <v>120</v>
      </c>
      <c r="H15" s="24" t="s">
        <v>3</v>
      </c>
      <c r="I15" s="30">
        <v>0.11</v>
      </c>
      <c r="J15" s="30">
        <v>0.11146491340469078</v>
      </c>
      <c r="K15" s="31">
        <v>10629</v>
      </c>
      <c r="L15" s="31">
        <v>10641854.130000001</v>
      </c>
      <c r="M15" s="31">
        <v>10716062.537693789</v>
      </c>
      <c r="N15" s="31">
        <v>10581743.795499001</v>
      </c>
      <c r="O15" s="33">
        <f t="shared" si="0"/>
        <v>5.1004438197486915E-2</v>
      </c>
      <c r="P15" s="29" t="s">
        <v>2</v>
      </c>
      <c r="Q15" s="29" t="s">
        <v>98</v>
      </c>
      <c r="R15" s="30">
        <v>0.38</v>
      </c>
      <c r="S15" s="29" t="s">
        <v>4</v>
      </c>
      <c r="T15" s="60">
        <v>3</v>
      </c>
      <c r="U15" s="32">
        <v>46646</v>
      </c>
      <c r="V15" s="37" t="s">
        <v>58</v>
      </c>
      <c r="W15" s="65" t="s">
        <v>15</v>
      </c>
      <c r="X15" s="25" t="s">
        <v>67</v>
      </c>
      <c r="Y15" s="25" t="s">
        <v>62</v>
      </c>
      <c r="Z15" s="25" t="s">
        <v>128</v>
      </c>
    </row>
    <row r="16" spans="4:26" x14ac:dyDescent="0.45">
      <c r="D16" s="82"/>
      <c r="E16" s="37" t="s">
        <v>79</v>
      </c>
      <c r="F16" s="37" t="s">
        <v>9</v>
      </c>
      <c r="G16" s="25" t="s">
        <v>13</v>
      </c>
      <c r="H16" s="24" t="s">
        <v>3</v>
      </c>
      <c r="I16" s="30">
        <v>0.11</v>
      </c>
      <c r="J16" s="30">
        <v>0.10179279327814683</v>
      </c>
      <c r="K16" s="31">
        <v>7096</v>
      </c>
      <c r="L16" s="31">
        <v>6954577.7123256791</v>
      </c>
      <c r="M16" s="31">
        <v>7057325.7500048801</v>
      </c>
      <c r="N16" s="31">
        <v>7599967.6628080001</v>
      </c>
      <c r="O16" s="33">
        <f t="shared" si="0"/>
        <v>3.6632155195958443E-2</v>
      </c>
      <c r="P16" s="29" t="s">
        <v>6</v>
      </c>
      <c r="Q16" s="29" t="s">
        <v>98</v>
      </c>
      <c r="R16" s="30">
        <v>0.77011494252873569</v>
      </c>
      <c r="S16" s="29" t="s">
        <v>4</v>
      </c>
      <c r="T16" s="60">
        <v>3.1</v>
      </c>
      <c r="U16" s="32">
        <v>48871</v>
      </c>
      <c r="V16" s="37" t="s">
        <v>15</v>
      </c>
      <c r="W16" s="65" t="s">
        <v>15</v>
      </c>
      <c r="X16" s="25" t="s">
        <v>67</v>
      </c>
      <c r="Y16" s="25" t="s">
        <v>61</v>
      </c>
      <c r="Z16" s="25" t="s">
        <v>129</v>
      </c>
    </row>
    <row r="17" spans="4:26" x14ac:dyDescent="0.45">
      <c r="D17" s="82"/>
      <c r="E17" s="37" t="s">
        <v>79</v>
      </c>
      <c r="F17" s="37" t="s">
        <v>78</v>
      </c>
      <c r="G17" s="25" t="s">
        <v>77</v>
      </c>
      <c r="H17" s="24" t="s">
        <v>3</v>
      </c>
      <c r="I17" s="25">
        <v>0.12</v>
      </c>
      <c r="J17" s="30">
        <v>0.11755560274781929</v>
      </c>
      <c r="K17" s="31">
        <v>8609</v>
      </c>
      <c r="L17" s="26">
        <v>8636237.58000114</v>
      </c>
      <c r="M17" s="31">
        <v>7326718.0033842102</v>
      </c>
      <c r="N17" s="31">
        <v>7471429.002874</v>
      </c>
      <c r="O17" s="33">
        <f t="shared" si="0"/>
        <v>3.6012593594081425E-2</v>
      </c>
      <c r="P17" s="24" t="s">
        <v>6</v>
      </c>
      <c r="Q17" s="24" t="s">
        <v>98</v>
      </c>
      <c r="R17" s="25">
        <v>0.75</v>
      </c>
      <c r="S17" s="24" t="s">
        <v>4</v>
      </c>
      <c r="T17" s="59">
        <v>1.7</v>
      </c>
      <c r="U17" s="28">
        <v>46364</v>
      </c>
      <c r="V17" s="37" t="s">
        <v>30</v>
      </c>
      <c r="W17" s="65">
        <v>0.25</v>
      </c>
      <c r="X17" s="25" t="s">
        <v>67</v>
      </c>
      <c r="Y17" s="25" t="s">
        <v>62</v>
      </c>
      <c r="Z17" s="25" t="s">
        <v>133</v>
      </c>
    </row>
    <row r="18" spans="4:26" x14ac:dyDescent="0.45">
      <c r="D18" s="82"/>
      <c r="E18" s="37" t="s">
        <v>79</v>
      </c>
      <c r="F18" s="37" t="s">
        <v>113</v>
      </c>
      <c r="G18" s="25" t="s">
        <v>111</v>
      </c>
      <c r="H18" s="24" t="s">
        <v>7</v>
      </c>
      <c r="I18" s="30">
        <v>0.16</v>
      </c>
      <c r="J18" s="30">
        <v>0.16014020277845131</v>
      </c>
      <c r="K18" s="31">
        <v>6000</v>
      </c>
      <c r="L18" s="31">
        <v>6000000</v>
      </c>
      <c r="M18" s="31">
        <v>6116211.3570599994</v>
      </c>
      <c r="N18" s="31">
        <v>6111204.1919999998</v>
      </c>
      <c r="O18" s="33">
        <f t="shared" si="0"/>
        <v>2.9456254332643126E-2</v>
      </c>
      <c r="P18" s="80" t="s">
        <v>2</v>
      </c>
      <c r="Q18" s="29" t="s">
        <v>116</v>
      </c>
      <c r="R18" s="81" t="s">
        <v>15</v>
      </c>
      <c r="S18" s="29" t="s">
        <v>94</v>
      </c>
      <c r="T18" s="30" t="s">
        <v>15</v>
      </c>
      <c r="U18" s="32">
        <v>47224</v>
      </c>
      <c r="V18" s="30" t="s">
        <v>15</v>
      </c>
      <c r="W18" s="30" t="s">
        <v>15</v>
      </c>
      <c r="X18" s="25" t="s">
        <v>67</v>
      </c>
      <c r="Y18" s="25" t="s">
        <v>117</v>
      </c>
      <c r="Z18" s="25" t="s">
        <v>15</v>
      </c>
    </row>
    <row r="19" spans="4:26" x14ac:dyDescent="0.45">
      <c r="D19" s="82"/>
      <c r="E19" s="37" t="s">
        <v>79</v>
      </c>
      <c r="F19" s="37" t="s">
        <v>114</v>
      </c>
      <c r="G19" s="25" t="s">
        <v>112</v>
      </c>
      <c r="H19" s="24" t="s">
        <v>7</v>
      </c>
      <c r="I19" s="30">
        <v>0.16</v>
      </c>
      <c r="J19" s="30">
        <v>0.16014020277845131</v>
      </c>
      <c r="K19" s="31">
        <v>4000</v>
      </c>
      <c r="L19" s="31">
        <v>4000000</v>
      </c>
      <c r="M19" s="31">
        <v>4077474.2380399997</v>
      </c>
      <c r="N19" s="31">
        <v>4074136.128</v>
      </c>
      <c r="O19" s="33">
        <f t="shared" si="0"/>
        <v>1.9637502888428752E-2</v>
      </c>
      <c r="P19" s="80" t="s">
        <v>2</v>
      </c>
      <c r="Q19" s="29" t="s">
        <v>116</v>
      </c>
      <c r="R19" s="81" t="s">
        <v>15</v>
      </c>
      <c r="S19" s="29" t="s">
        <v>94</v>
      </c>
      <c r="T19" s="30" t="s">
        <v>15</v>
      </c>
      <c r="U19" s="32">
        <v>47224</v>
      </c>
      <c r="V19" s="30" t="s">
        <v>15</v>
      </c>
      <c r="W19" s="30" t="s">
        <v>15</v>
      </c>
      <c r="X19" s="25" t="s">
        <v>67</v>
      </c>
      <c r="Y19" s="25" t="s">
        <v>117</v>
      </c>
      <c r="Z19" s="25" t="s">
        <v>15</v>
      </c>
    </row>
    <row r="20" spans="4:26" x14ac:dyDescent="0.45">
      <c r="D20" s="82"/>
      <c r="E20" s="37" t="s">
        <v>79</v>
      </c>
      <c r="F20" s="37" t="s">
        <v>10</v>
      </c>
      <c r="G20" s="25" t="s">
        <v>14</v>
      </c>
      <c r="H20" s="24" t="s">
        <v>60</v>
      </c>
      <c r="I20" s="30">
        <v>0.05</v>
      </c>
      <c r="J20" s="30">
        <v>4.9295636807321408E-2</v>
      </c>
      <c r="K20" s="31">
        <v>3000</v>
      </c>
      <c r="L20" s="31">
        <v>3000000</v>
      </c>
      <c r="M20" s="31">
        <v>3015870.1770000001</v>
      </c>
      <c r="N20" s="31">
        <v>3058013.682</v>
      </c>
      <c r="O20" s="33">
        <f t="shared" si="0"/>
        <v>1.4739751109546048E-2</v>
      </c>
      <c r="P20" s="29" t="s">
        <v>2</v>
      </c>
      <c r="Q20" s="29" t="s">
        <v>98</v>
      </c>
      <c r="R20" s="30">
        <v>0.44679999999999997</v>
      </c>
      <c r="S20" s="29" t="s">
        <v>4</v>
      </c>
      <c r="T20" s="60">
        <v>2.4</v>
      </c>
      <c r="U20" s="32">
        <v>46071</v>
      </c>
      <c r="V20" s="37" t="s">
        <v>15</v>
      </c>
      <c r="W20" s="65" t="s">
        <v>15</v>
      </c>
      <c r="X20" s="25" t="s">
        <v>67</v>
      </c>
      <c r="Y20" s="25" t="s">
        <v>63</v>
      </c>
      <c r="Z20" s="25" t="s">
        <v>130</v>
      </c>
    </row>
    <row r="21" spans="4:26" x14ac:dyDescent="0.45">
      <c r="D21" s="82"/>
      <c r="E21" s="37" t="s">
        <v>79</v>
      </c>
      <c r="F21" s="37" t="s">
        <v>108</v>
      </c>
      <c r="G21" s="25" t="s">
        <v>110</v>
      </c>
      <c r="H21" s="24" t="s">
        <v>7</v>
      </c>
      <c r="I21" s="30">
        <v>0.16</v>
      </c>
      <c r="J21" s="30">
        <v>0.16014020277845131</v>
      </c>
      <c r="K21" s="31">
        <v>2500</v>
      </c>
      <c r="L21" s="31">
        <v>2500000</v>
      </c>
      <c r="M21" s="31">
        <v>2548421.3987749997</v>
      </c>
      <c r="N21" s="31">
        <v>2546335.08</v>
      </c>
      <c r="O21" s="33">
        <f t="shared" si="0"/>
        <v>1.2273439305267969E-2</v>
      </c>
      <c r="P21" s="80" t="s">
        <v>2</v>
      </c>
      <c r="Q21" s="29" t="s">
        <v>116</v>
      </c>
      <c r="R21" s="81" t="s">
        <v>15</v>
      </c>
      <c r="S21" s="29" t="s">
        <v>94</v>
      </c>
      <c r="T21" s="30" t="s">
        <v>15</v>
      </c>
      <c r="U21" s="32">
        <v>47224</v>
      </c>
      <c r="V21" s="30" t="s">
        <v>15</v>
      </c>
      <c r="W21" s="30" t="s">
        <v>15</v>
      </c>
      <c r="X21" s="25" t="s">
        <v>67</v>
      </c>
      <c r="Y21" s="25" t="s">
        <v>117</v>
      </c>
      <c r="Z21" s="25" t="s">
        <v>15</v>
      </c>
    </row>
    <row r="22" spans="4:26" x14ac:dyDescent="0.45">
      <c r="D22" s="82"/>
      <c r="E22" s="37" t="s">
        <v>79</v>
      </c>
      <c r="F22" s="37" t="s">
        <v>122</v>
      </c>
      <c r="G22" s="25" t="s">
        <v>123</v>
      </c>
      <c r="H22" s="24" t="s">
        <v>3</v>
      </c>
      <c r="I22" s="30">
        <v>9.8000000000000004E-2</v>
      </c>
      <c r="J22" s="30">
        <v>9.8000000000000753E-2</v>
      </c>
      <c r="K22" s="31">
        <v>2302</v>
      </c>
      <c r="L22" s="31">
        <v>2302000</v>
      </c>
      <c r="M22" s="31">
        <v>2302000</v>
      </c>
      <c r="N22" s="31">
        <v>2302000</v>
      </c>
      <c r="O22" s="33">
        <f t="shared" si="0"/>
        <v>1.1095734219208441E-2</v>
      </c>
      <c r="P22" s="29" t="s">
        <v>2</v>
      </c>
      <c r="Q22" s="29" t="s">
        <v>98</v>
      </c>
      <c r="R22" s="30">
        <v>0.53</v>
      </c>
      <c r="S22" s="29" t="s">
        <v>4</v>
      </c>
      <c r="T22" s="60">
        <v>4</v>
      </c>
      <c r="U22" s="32">
        <v>46593</v>
      </c>
      <c r="V22" s="30" t="s">
        <v>15</v>
      </c>
      <c r="W22" s="30" t="s">
        <v>15</v>
      </c>
      <c r="X22" s="25" t="s">
        <v>67</v>
      </c>
      <c r="Y22" s="25" t="s">
        <v>62</v>
      </c>
      <c r="Z22" s="25" t="s">
        <v>131</v>
      </c>
    </row>
    <row r="23" spans="4:26" x14ac:dyDescent="0.45">
      <c r="E23" s="37"/>
      <c r="F23" s="37"/>
      <c r="G23" s="25"/>
      <c r="H23" s="24"/>
      <c r="I23" s="30"/>
      <c r="J23" s="30"/>
      <c r="K23" s="31"/>
      <c r="L23" s="31"/>
      <c r="M23" s="31"/>
      <c r="N23" s="31"/>
      <c r="O23" s="27"/>
      <c r="P23" s="80"/>
      <c r="Q23" s="29"/>
      <c r="R23" s="81"/>
      <c r="S23" s="29"/>
      <c r="T23" s="60"/>
      <c r="U23" s="32"/>
      <c r="V23" s="39"/>
      <c r="W23" s="65"/>
      <c r="X23" s="25"/>
      <c r="Y23" s="25"/>
      <c r="Z23" s="25"/>
    </row>
    <row r="24" spans="4:26" x14ac:dyDescent="0.45">
      <c r="E24" s="37" t="s">
        <v>93</v>
      </c>
      <c r="F24" s="37" t="s">
        <v>118</v>
      </c>
      <c r="G24" s="25" t="s">
        <v>15</v>
      </c>
      <c r="H24" s="24" t="s">
        <v>7</v>
      </c>
      <c r="I24" s="30">
        <v>0.3994094929817591</v>
      </c>
      <c r="J24" s="30">
        <v>0.3994094929817591</v>
      </c>
      <c r="K24" s="26">
        <v>1</v>
      </c>
      <c r="L24" s="31">
        <v>932970.35</v>
      </c>
      <c r="M24" s="31">
        <v>4320057</v>
      </c>
      <c r="N24" s="34">
        <v>4320057</v>
      </c>
      <c r="O24" s="33">
        <f>N24/SUM($N:$N)</f>
        <v>2.0822851556833607E-2</v>
      </c>
      <c r="P24" s="29" t="s">
        <v>2</v>
      </c>
      <c r="Q24" s="29" t="s">
        <v>8</v>
      </c>
      <c r="R24" s="30" t="s">
        <v>15</v>
      </c>
      <c r="S24" s="29" t="s">
        <v>94</v>
      </c>
      <c r="T24" s="30" t="s">
        <v>15</v>
      </c>
      <c r="U24" s="32">
        <v>46844</v>
      </c>
      <c r="V24" s="30" t="s">
        <v>15</v>
      </c>
      <c r="W24" s="30" t="s">
        <v>15</v>
      </c>
      <c r="X24" s="25" t="s">
        <v>15</v>
      </c>
      <c r="Y24" s="30" t="s">
        <v>15</v>
      </c>
      <c r="Z24" s="30"/>
    </row>
    <row r="25" spans="4:26" x14ac:dyDescent="0.45">
      <c r="E25" s="37" t="s">
        <v>11</v>
      </c>
      <c r="F25" s="39" t="s">
        <v>124</v>
      </c>
      <c r="G25" s="25" t="s">
        <v>15</v>
      </c>
      <c r="H25" s="24" t="s">
        <v>11</v>
      </c>
      <c r="I25" s="25" t="s">
        <v>15</v>
      </c>
      <c r="J25" s="25" t="s">
        <v>15</v>
      </c>
      <c r="K25" s="26">
        <v>1</v>
      </c>
      <c r="L25" s="34">
        <v>21451433.989999998</v>
      </c>
      <c r="M25" s="34">
        <v>21451433.989999998</v>
      </c>
      <c r="N25" s="34">
        <v>21451433.989999998</v>
      </c>
      <c r="O25" s="33">
        <f>N25/SUM($N:$N)</f>
        <v>0.10339678982360298</v>
      </c>
      <c r="P25" s="29" t="s">
        <v>11</v>
      </c>
      <c r="Q25" s="39" t="s">
        <v>15</v>
      </c>
      <c r="R25" s="30" t="s">
        <v>15</v>
      </c>
      <c r="S25" s="39" t="s">
        <v>15</v>
      </c>
      <c r="T25" s="61" t="s">
        <v>15</v>
      </c>
      <c r="U25" s="39" t="s">
        <v>15</v>
      </c>
      <c r="V25" s="39" t="s">
        <v>15</v>
      </c>
      <c r="W25" s="29" t="s">
        <v>15</v>
      </c>
      <c r="X25" s="39" t="s">
        <v>15</v>
      </c>
      <c r="Y25" s="39" t="s">
        <v>15</v>
      </c>
      <c r="Z25" s="39"/>
    </row>
    <row r="26" spans="4:26" x14ac:dyDescent="0.45">
      <c r="E26" s="37"/>
      <c r="F26" s="39"/>
      <c r="G26" s="25"/>
      <c r="H26" s="24"/>
      <c r="I26" s="30"/>
      <c r="J26" s="25"/>
      <c r="K26" s="25"/>
      <c r="L26" s="34"/>
      <c r="M26" s="34"/>
      <c r="N26" s="34"/>
      <c r="O26" s="27"/>
      <c r="P26" s="29"/>
      <c r="Q26" s="29"/>
      <c r="R26" s="30"/>
      <c r="S26" s="29"/>
      <c r="T26" s="61"/>
      <c r="U26" s="39"/>
      <c r="V26" s="39"/>
      <c r="W26" s="30"/>
      <c r="X26" s="39"/>
      <c r="Y26" s="25"/>
      <c r="Z26" s="25"/>
    </row>
    <row r="27" spans="4:26" x14ac:dyDescent="0.45">
      <c r="E27" s="83" t="s">
        <v>132</v>
      </c>
      <c r="H27"/>
      <c r="I27" s="63"/>
      <c r="L27" s="62"/>
      <c r="M27" s="63"/>
    </row>
    <row r="28" spans="4:26" x14ac:dyDescent="0.45">
      <c r="H28"/>
      <c r="L28" s="62"/>
      <c r="N28" s="47"/>
    </row>
    <row r="29" spans="4:26" x14ac:dyDescent="0.45">
      <c r="H29"/>
      <c r="L29" s="62"/>
    </row>
    <row r="30" spans="4:26" x14ac:dyDescent="0.45">
      <c r="H30"/>
      <c r="I30" s="62"/>
      <c r="L30" s="62"/>
      <c r="N30" s="47"/>
      <c r="T30" s="47"/>
    </row>
    <row r="31" spans="4:26" x14ac:dyDescent="0.45">
      <c r="H31"/>
      <c r="I31" s="62"/>
      <c r="L31" s="62"/>
      <c r="T31" s="62"/>
    </row>
    <row r="32" spans="4:26" x14ac:dyDescent="0.45">
      <c r="H32"/>
      <c r="I32" s="62"/>
      <c r="L32" s="62"/>
    </row>
    <row r="33" spans="8:21" x14ac:dyDescent="0.45">
      <c r="H33"/>
      <c r="L33" s="62"/>
      <c r="T33" s="47"/>
    </row>
    <row r="34" spans="8:21" x14ac:dyDescent="0.45">
      <c r="H34"/>
      <c r="L34" s="62"/>
    </row>
    <row r="35" spans="8:21" x14ac:dyDescent="0.45">
      <c r="H35"/>
      <c r="L35" s="62"/>
      <c r="U35" s="47"/>
    </row>
    <row r="36" spans="8:21" x14ac:dyDescent="0.45">
      <c r="H36"/>
      <c r="L36" s="62"/>
      <c r="U36" s="47"/>
    </row>
    <row r="37" spans="8:21" x14ac:dyDescent="0.45">
      <c r="H37"/>
      <c r="L37" s="63"/>
      <c r="U37" s="63"/>
    </row>
    <row r="38" spans="8:21" x14ac:dyDescent="0.45">
      <c r="H38"/>
      <c r="L38" s="63"/>
    </row>
    <row r="39" spans="8:21" x14ac:dyDescent="0.45">
      <c r="H39"/>
      <c r="L39" s="63"/>
    </row>
    <row r="40" spans="8:21" x14ac:dyDescent="0.45">
      <c r="H40"/>
    </row>
    <row r="41" spans="8:21" x14ac:dyDescent="0.45">
      <c r="H41"/>
    </row>
    <row r="42" spans="8:21" x14ac:dyDescent="0.45">
      <c r="H42"/>
    </row>
    <row r="43" spans="8:21" x14ac:dyDescent="0.45">
      <c r="H43"/>
    </row>
    <row r="44" spans="8:21" x14ac:dyDescent="0.45">
      <c r="H44"/>
    </row>
    <row r="45" spans="8:21" x14ac:dyDescent="0.45">
      <c r="H45"/>
    </row>
  </sheetData>
  <sheetCalcPr fullCalcOnLoad="1"/>
  <autoFilter ref="D7:Z7">
    <sortState ref="D8:Z22">
      <sortCondition descending="1" ref="O7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Q33"/>
  <sheetViews>
    <sheetView showGridLines="0" tabSelected="1" zoomScale="130" zoomScaleNormal="130" workbookViewId="0"/>
  </sheetViews>
  <sheetFormatPr defaultColWidth="9.1796875" defaultRowHeight="16" x14ac:dyDescent="0.45"/>
  <cols>
    <col min="1" max="3" width="6.7265625" style="4" customWidth="1"/>
    <col min="4" max="4" width="2.1796875" style="4" customWidth="1"/>
    <col min="5" max="5" width="1.453125" style="4" customWidth="1"/>
    <col min="6" max="6" width="27.7265625" style="4" bestFit="1" customWidth="1"/>
    <col min="7" max="12" width="8" style="4" customWidth="1"/>
    <col min="13" max="13" width="2" style="4" customWidth="1"/>
    <col min="14" max="15" width="11.26953125" style="4" customWidth="1"/>
    <col min="16" max="16" width="9.1796875" style="4"/>
    <col min="17" max="17" width="9.1796875" style="78"/>
    <col min="18" max="16384" width="9.1796875" style="4"/>
  </cols>
  <sheetData>
    <row r="8" spans="6:17" s="8" customFormat="1" x14ac:dyDescent="0.45">
      <c r="F8" s="40" t="s">
        <v>31</v>
      </c>
      <c r="G8" s="41">
        <v>45292</v>
      </c>
      <c r="H8" s="73">
        <f>EDATE(G8,1)</f>
        <v>45323</v>
      </c>
      <c r="I8" s="73">
        <f>EDATE(H8,1)</f>
        <v>45352</v>
      </c>
      <c r="J8" s="73">
        <f>EDATE(I8,1)</f>
        <v>45383</v>
      </c>
      <c r="K8" s="73">
        <f>EDATE(J8,1)</f>
        <v>45413</v>
      </c>
      <c r="L8" s="73">
        <f>EDATE(K8,1)</f>
        <v>45444</v>
      </c>
      <c r="M8" s="4"/>
      <c r="N8" s="41" t="s">
        <v>43</v>
      </c>
      <c r="O8" s="41" t="s">
        <v>32</v>
      </c>
      <c r="Q8" s="77"/>
    </row>
    <row r="9" spans="6:17" x14ac:dyDescent="0.45">
      <c r="F9" s="42" t="s">
        <v>33</v>
      </c>
      <c r="G9" s="43">
        <v>971378.65000002831</v>
      </c>
      <c r="H9" s="43">
        <v>570571.97000002861</v>
      </c>
      <c r="I9" s="43">
        <v>561284.60999999195</v>
      </c>
      <c r="J9" s="43">
        <v>535975.98000001162</v>
      </c>
      <c r="K9" s="43">
        <v>331068.8599999994</v>
      </c>
      <c r="L9" s="43">
        <v>198707.56999999657</v>
      </c>
      <c r="N9" s="43">
        <f>SUM(G9:L9)</f>
        <v>3168987.6400000565</v>
      </c>
      <c r="O9" s="43">
        <f>SUM(G9:L9)</f>
        <v>3168987.6400000565</v>
      </c>
      <c r="P9" s="62"/>
    </row>
    <row r="10" spans="6:17" x14ac:dyDescent="0.45">
      <c r="F10" s="42" t="s">
        <v>34</v>
      </c>
      <c r="G10" s="43">
        <v>40888.790080000064</v>
      </c>
      <c r="H10" s="43">
        <v>1238091.9521987396</v>
      </c>
      <c r="I10" s="43">
        <v>1468936.0424781642</v>
      </c>
      <c r="J10" s="43">
        <v>1714468.7327987014</v>
      </c>
      <c r="K10" s="43">
        <v>1484398.8855116235</v>
      </c>
      <c r="L10" s="43">
        <v>2086706.7179435091</v>
      </c>
      <c r="N10" s="43">
        <f>SUM(G10:L10)</f>
        <v>8033491.1210107384</v>
      </c>
      <c r="O10" s="43">
        <f>SUM(G10:L10)</f>
        <v>8033491.1210107384</v>
      </c>
      <c r="P10" s="62"/>
    </row>
    <row r="11" spans="6:17" x14ac:dyDescent="0.45">
      <c r="F11" s="42" t="s">
        <v>35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125000</v>
      </c>
      <c r="N11" s="44">
        <f>SUM(G11:L11)</f>
        <v>125000</v>
      </c>
      <c r="O11" s="44">
        <f>SUM(G11:L11)</f>
        <v>125000</v>
      </c>
      <c r="P11" s="62"/>
    </row>
    <row r="12" spans="6:17" x14ac:dyDescent="0.45">
      <c r="F12" s="42" t="s">
        <v>36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N12" s="44">
        <f>SUM(G12:L12)</f>
        <v>0</v>
      </c>
      <c r="O12" s="44">
        <f>SUM(G12:L12)</f>
        <v>0</v>
      </c>
      <c r="P12" s="62"/>
    </row>
    <row r="13" spans="6:17" x14ac:dyDescent="0.45">
      <c r="F13" s="48" t="s">
        <v>37</v>
      </c>
      <c r="G13" s="49">
        <f t="shared" ref="G13:L13" si="0">SUM(G9:G12)</f>
        <v>1012267.4400800284</v>
      </c>
      <c r="H13" s="49">
        <f t="shared" si="0"/>
        <v>1808663.9221987682</v>
      </c>
      <c r="I13" s="49">
        <f t="shared" si="0"/>
        <v>2030220.6524781561</v>
      </c>
      <c r="J13" s="49">
        <f t="shared" si="0"/>
        <v>2250444.7127987128</v>
      </c>
      <c r="K13" s="49">
        <f t="shared" si="0"/>
        <v>1815467.7455116229</v>
      </c>
      <c r="L13" s="49">
        <f t="shared" si="0"/>
        <v>2410414.2879435057</v>
      </c>
      <c r="N13" s="49">
        <f>SUM(G13:L13)</f>
        <v>11327478.761010796</v>
      </c>
      <c r="O13" s="49">
        <f>SUM(G13:L13)</f>
        <v>11327478.761010796</v>
      </c>
      <c r="P13" s="62"/>
    </row>
    <row r="14" spans="6:17" ht="9.75" customHeight="1" x14ac:dyDescent="0.45"/>
    <row r="15" spans="6:17" x14ac:dyDescent="0.45">
      <c r="F15" s="42" t="s">
        <v>38</v>
      </c>
      <c r="G15" s="45">
        <v>-9888.89</v>
      </c>
      <c r="H15" s="45">
        <v>-231983.99904766399</v>
      </c>
      <c r="I15" s="45">
        <v>-207281.59000000003</v>
      </c>
      <c r="J15" s="45">
        <v>-217172.61000000002</v>
      </c>
      <c r="K15" s="45">
        <v>-271817.36</v>
      </c>
      <c r="L15" s="45">
        <v>-220601.58</v>
      </c>
      <c r="N15" s="45">
        <f>SUM(G15:L15)</f>
        <v>-1158746.029047664</v>
      </c>
      <c r="O15" s="45">
        <f>SUM(G15:L15)</f>
        <v>-1158746.029047664</v>
      </c>
      <c r="P15" s="62"/>
    </row>
    <row r="16" spans="6:17" x14ac:dyDescent="0.45">
      <c r="F16" s="50" t="s">
        <v>39</v>
      </c>
      <c r="G16" s="51">
        <f t="shared" ref="G16:L16" si="1">G15</f>
        <v>-9888.89</v>
      </c>
      <c r="H16" s="51">
        <f t="shared" si="1"/>
        <v>-231983.99904766399</v>
      </c>
      <c r="I16" s="51">
        <f t="shared" si="1"/>
        <v>-207281.59000000003</v>
      </c>
      <c r="J16" s="51">
        <f t="shared" si="1"/>
        <v>-217172.61000000002</v>
      </c>
      <c r="K16" s="51">
        <f t="shared" si="1"/>
        <v>-271817.36</v>
      </c>
      <c r="L16" s="51">
        <f t="shared" si="1"/>
        <v>-220601.58</v>
      </c>
      <c r="N16" s="51">
        <f>SUM(G16:L16)</f>
        <v>-1158746.029047664</v>
      </c>
      <c r="O16" s="51">
        <f>SUM(G16:L16)</f>
        <v>-1158746.029047664</v>
      </c>
      <c r="P16" s="62"/>
    </row>
    <row r="17" spans="6:17" x14ac:dyDescent="0.45">
      <c r="F17" s="50" t="s">
        <v>40</v>
      </c>
      <c r="G17" s="51">
        <f t="shared" ref="G17:L17" si="2">SUM(G16,G13)</f>
        <v>1002378.5500800284</v>
      </c>
      <c r="H17" s="51">
        <f t="shared" si="2"/>
        <v>1576679.9231511042</v>
      </c>
      <c r="I17" s="51">
        <f t="shared" si="2"/>
        <v>1822939.0624781561</v>
      </c>
      <c r="J17" s="51">
        <f t="shared" si="2"/>
        <v>2033272.1027987127</v>
      </c>
      <c r="K17" s="51">
        <f t="shared" si="2"/>
        <v>1543650.3855116228</v>
      </c>
      <c r="L17" s="51">
        <f t="shared" si="2"/>
        <v>2189812.7079435056</v>
      </c>
      <c r="N17" s="51">
        <f>SUM(G17:L17)</f>
        <v>10168732.73196313</v>
      </c>
      <c r="O17" s="51">
        <f>SUM(G17:L17)</f>
        <v>10168732.73196313</v>
      </c>
      <c r="P17" s="62"/>
    </row>
    <row r="18" spans="6:17" ht="9.75" customHeight="1" x14ac:dyDescent="0.45"/>
    <row r="19" spans="6:17" x14ac:dyDescent="0.45">
      <c r="F19" s="50" t="s">
        <v>41</v>
      </c>
      <c r="G19" s="49">
        <v>966130.08</v>
      </c>
      <c r="H19" s="49">
        <v>1576590.5999999999</v>
      </c>
      <c r="I19" s="49">
        <v>1807823.13</v>
      </c>
      <c r="J19" s="49">
        <v>1807823.13</v>
      </c>
      <c r="K19" s="49">
        <v>1807823.13</v>
      </c>
      <c r="L19" s="49">
        <v>1807823.13</v>
      </c>
      <c r="N19" s="49">
        <f>SUM(G19:L19)</f>
        <v>9774013.1999999993</v>
      </c>
      <c r="O19" s="49">
        <f>SUM(G19:L19)</f>
        <v>9774013.1999999993</v>
      </c>
      <c r="P19" s="62"/>
    </row>
    <row r="20" spans="6:17" x14ac:dyDescent="0.45">
      <c r="F20" s="52" t="s">
        <v>42</v>
      </c>
      <c r="G20" s="53">
        <v>21021208</v>
      </c>
      <c r="H20" s="53">
        <v>21021208</v>
      </c>
      <c r="I20" s="53">
        <v>21021208</v>
      </c>
      <c r="J20" s="53">
        <v>21021208</v>
      </c>
      <c r="K20" s="53">
        <v>21021208</v>
      </c>
      <c r="L20" s="53">
        <v>21021208</v>
      </c>
      <c r="N20" s="53">
        <f>SUM(G20:G20)</f>
        <v>21021208</v>
      </c>
      <c r="O20" s="53">
        <f>SUM(G20:G20)</f>
        <v>21021208</v>
      </c>
    </row>
    <row r="21" spans="6:17" x14ac:dyDescent="0.45">
      <c r="F21" s="46" t="s">
        <v>46</v>
      </c>
      <c r="G21" s="74">
        <f t="shared" ref="G21:L21" si="3">G19/G20</f>
        <v>4.5959779285757507E-2</v>
      </c>
      <c r="H21" s="74">
        <f t="shared" si="3"/>
        <v>7.4999999999999997E-2</v>
      </c>
      <c r="I21" s="74">
        <f t="shared" si="3"/>
        <v>8.599996394117787E-2</v>
      </c>
      <c r="J21" s="74">
        <f t="shared" si="3"/>
        <v>8.599996394117787E-2</v>
      </c>
      <c r="K21" s="74">
        <f t="shared" si="3"/>
        <v>8.599996394117787E-2</v>
      </c>
      <c r="L21" s="74">
        <f t="shared" si="3"/>
        <v>8.599996394117787E-2</v>
      </c>
      <c r="N21" s="74">
        <f>AVERAGE($G$21:$L$21)</f>
        <v>7.7493272508411495E-2</v>
      </c>
      <c r="O21" s="74">
        <f>AVERAGE($G$21:$L$21)</f>
        <v>7.7493272508411495E-2</v>
      </c>
    </row>
    <row r="23" spans="6:17" s="38" customFormat="1" x14ac:dyDescent="0.45">
      <c r="F23" s="50" t="s">
        <v>44</v>
      </c>
      <c r="G23" s="54">
        <f>209449739.44/G20</f>
        <v>9.9637346930775816</v>
      </c>
      <c r="H23" s="54">
        <v>9.9109945579721206</v>
      </c>
      <c r="I23" s="54">
        <v>9.8356521233223138</v>
      </c>
      <c r="J23" s="54">
        <v>9.6880027908006046</v>
      </c>
      <c r="K23" s="54">
        <v>9.6441522176080454</v>
      </c>
      <c r="L23" s="54">
        <v>9.86</v>
      </c>
      <c r="N23" s="4"/>
      <c r="O23" s="4"/>
      <c r="Q23" s="79"/>
    </row>
    <row r="26" spans="6:17" x14ac:dyDescent="0.45">
      <c r="G26" s="67"/>
      <c r="H26" s="67"/>
      <c r="I26" s="67"/>
      <c r="J26" s="67"/>
      <c r="K26" s="67"/>
      <c r="L26" s="67"/>
      <c r="N26" s="62"/>
      <c r="O26" s="62"/>
    </row>
    <row r="27" spans="6:17" x14ac:dyDescent="0.45">
      <c r="G27" s="68"/>
      <c r="H27" s="68"/>
      <c r="I27" s="68"/>
      <c r="J27" s="68"/>
      <c r="K27" s="68"/>
      <c r="L27" s="68"/>
      <c r="N27" s="62"/>
      <c r="O27" s="62"/>
    </row>
    <row r="29" spans="6:17" x14ac:dyDescent="0.45">
      <c r="G29" s="69"/>
      <c r="H29" s="69"/>
      <c r="I29" s="69"/>
      <c r="J29" s="69"/>
      <c r="K29" s="69"/>
      <c r="L29" s="69"/>
    </row>
    <row r="30" spans="6:17" x14ac:dyDescent="0.45">
      <c r="G30" s="69"/>
      <c r="H30" s="69"/>
      <c r="I30" s="69"/>
      <c r="J30" s="69"/>
      <c r="K30" s="69"/>
      <c r="L30" s="69"/>
    </row>
    <row r="32" spans="6:17" x14ac:dyDescent="0.45">
      <c r="G32" s="62"/>
      <c r="H32" s="62"/>
      <c r="I32" s="62"/>
      <c r="J32" s="62"/>
      <c r="K32" s="62"/>
      <c r="L32" s="62"/>
    </row>
    <row r="33" spans="7:12" x14ac:dyDescent="0.45">
      <c r="G33" s="62"/>
      <c r="H33" s="62"/>
      <c r="I33" s="62"/>
      <c r="J33" s="62"/>
      <c r="K33" s="62"/>
      <c r="L33" s="6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8 N14 O14 O18 O20 G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2024-06-14T17:26:38Z</cp:lastPrinted>
  <dcterms:created xsi:type="dcterms:W3CDTF">2023-10-11T17:28:22Z</dcterms:created>
  <dcterms:modified xsi:type="dcterms:W3CDTF">2024-07-12T20:20:22Z</dcterms:modified>
</cp:coreProperties>
</file>