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55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operações'!$C$7:$Y$25</definedName>
  </definedNames>
  <calcPr calcId="162913"/>
</workbook>
</file>

<file path=xl/calcChain.xml><?xml version="1.0" encoding="utf-8"?>
<calcChain xmlns="http://schemas.openxmlformats.org/spreadsheetml/2006/main">
  <c r="N9" i="2" l="1"/>
  <c r="C12" i="2"/>
  <c r="L12" i="2"/>
  <c r="C18" i="2"/>
  <c r="O15" i="3"/>
  <c r="M33" i="3"/>
  <c r="O10" i="3" s="1"/>
  <c r="N33" i="3"/>
  <c r="AH8" i="4"/>
  <c r="AI8" i="4" s="1"/>
  <c r="AJ8" i="4" s="1"/>
  <c r="AK8" i="4" s="1"/>
  <c r="AL8" i="4" s="1"/>
  <c r="AM8" i="4" s="1"/>
  <c r="AO9" i="4"/>
  <c r="AP9" i="4"/>
  <c r="AQ9" i="4"/>
  <c r="AO10" i="4"/>
  <c r="AP10" i="4"/>
  <c r="AQ10" i="4"/>
  <c r="AO11" i="4"/>
  <c r="AP11" i="4"/>
  <c r="AQ11" i="4"/>
  <c r="AO12" i="4"/>
  <c r="AP12" i="4"/>
  <c r="AQ12" i="4"/>
  <c r="G13" i="4"/>
  <c r="H13" i="4"/>
  <c r="I13" i="4"/>
  <c r="AO13" i="4" s="1"/>
  <c r="J13" i="4"/>
  <c r="K13" i="4"/>
  <c r="L13" i="4"/>
  <c r="M13" i="4"/>
  <c r="N13" i="4"/>
  <c r="O13" i="4"/>
  <c r="P13" i="4"/>
  <c r="Q13" i="4"/>
  <c r="R13" i="4"/>
  <c r="AP13" i="4" s="1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Q13" i="4" s="1"/>
  <c r="AI13" i="4"/>
  <c r="AJ13" i="4"/>
  <c r="AK13" i="4"/>
  <c r="AL13" i="4"/>
  <c r="AM13" i="4"/>
  <c r="AO15" i="4"/>
  <c r="AP15" i="4"/>
  <c r="AQ15" i="4"/>
  <c r="G16" i="4"/>
  <c r="H16" i="4"/>
  <c r="H17" i="4" s="1"/>
  <c r="I16" i="4"/>
  <c r="I17" i="4" s="1"/>
  <c r="J16" i="4"/>
  <c r="AO16" i="4" s="1"/>
  <c r="K16" i="4"/>
  <c r="AP16" i="4" s="1"/>
  <c r="L16" i="4"/>
  <c r="M16" i="4"/>
  <c r="N16" i="4"/>
  <c r="O16" i="4"/>
  <c r="P16" i="4"/>
  <c r="P17" i="4" s="1"/>
  <c r="Q16" i="4"/>
  <c r="Q17" i="4" s="1"/>
  <c r="R16" i="4"/>
  <c r="R17" i="4" s="1"/>
  <c r="S16" i="4"/>
  <c r="S17" i="4" s="1"/>
  <c r="T16" i="4"/>
  <c r="U16" i="4"/>
  <c r="V16" i="4"/>
  <c r="W16" i="4"/>
  <c r="X16" i="4"/>
  <c r="X17" i="4" s="1"/>
  <c r="Y16" i="4"/>
  <c r="Y17" i="4" s="1"/>
  <c r="Z16" i="4"/>
  <c r="Z17" i="4" s="1"/>
  <c r="AA16" i="4"/>
  <c r="AA17" i="4" s="1"/>
  <c r="AB16" i="4"/>
  <c r="AC16" i="4"/>
  <c r="AD16" i="4"/>
  <c r="AE16" i="4"/>
  <c r="AF16" i="4"/>
  <c r="AF17" i="4" s="1"/>
  <c r="AG16" i="4"/>
  <c r="AG17" i="4" s="1"/>
  <c r="AH16" i="4"/>
  <c r="AH17" i="4" s="1"/>
  <c r="AI16" i="4"/>
  <c r="AI17" i="4" s="1"/>
  <c r="AJ16" i="4"/>
  <c r="AK16" i="4"/>
  <c r="AL16" i="4"/>
  <c r="AM16" i="4"/>
  <c r="G17" i="4"/>
  <c r="L17" i="4"/>
  <c r="M17" i="4"/>
  <c r="N17" i="4"/>
  <c r="O17" i="4"/>
  <c r="T17" i="4"/>
  <c r="U17" i="4"/>
  <c r="V17" i="4"/>
  <c r="W17" i="4"/>
  <c r="AB17" i="4"/>
  <c r="AC17" i="4"/>
  <c r="AD17" i="4"/>
  <c r="AE17" i="4"/>
  <c r="AJ17" i="4"/>
  <c r="AK17" i="4"/>
  <c r="AL17" i="4"/>
  <c r="AM17" i="4"/>
  <c r="AO19" i="4"/>
  <c r="AP19" i="4"/>
  <c r="AQ19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P20" i="4" s="1"/>
  <c r="AO21" i="4"/>
  <c r="AP21" i="4"/>
  <c r="AQ21" i="4"/>
  <c r="AM23" i="4"/>
  <c r="J9" i="2" s="1"/>
  <c r="AQ17" i="4" l="1"/>
  <c r="O8" i="3"/>
  <c r="AQ16" i="4"/>
  <c r="O32" i="3"/>
  <c r="K17" i="4"/>
  <c r="AP17" i="4" s="1"/>
  <c r="J17" i="4"/>
  <c r="AO17" i="4" s="1"/>
  <c r="AO20" i="4"/>
  <c r="O25" i="3"/>
  <c r="O17" i="3"/>
  <c r="O9" i="3"/>
  <c r="O31" i="3"/>
  <c r="O22" i="3"/>
  <c r="O14" i="3"/>
  <c r="O16" i="3"/>
  <c r="O30" i="3"/>
  <c r="O21" i="3"/>
  <c r="O13" i="3"/>
  <c r="O29" i="3"/>
  <c r="O20" i="3"/>
  <c r="O12" i="3"/>
  <c r="O28" i="3"/>
  <c r="O19" i="3"/>
  <c r="O11" i="3"/>
  <c r="L9" i="2"/>
  <c r="O24" i="3"/>
  <c r="O23" i="3"/>
  <c r="AQ20" i="4"/>
  <c r="O33" i="3"/>
  <c r="O26" i="3"/>
  <c r="O18" i="3"/>
</calcChain>
</file>

<file path=xl/sharedStrings.xml><?xml version="1.0" encoding="utf-8"?>
<sst xmlns="http://schemas.openxmlformats.org/spreadsheetml/2006/main" count="363" uniqueCount="146">
  <si>
    <t>Segmento</t>
  </si>
  <si>
    <t>Tipo</t>
  </si>
  <si>
    <t>Residencial</t>
  </si>
  <si>
    <t>IPCA+</t>
  </si>
  <si>
    <t>Sudeste</t>
  </si>
  <si>
    <t>Centro-Oeste (DF)</t>
  </si>
  <si>
    <t xml:space="preserve">RNI </t>
  </si>
  <si>
    <t>Pulverizado</t>
  </si>
  <si>
    <t>39% (LTV médio)</t>
  </si>
  <si>
    <t>Giro de Estoque</t>
  </si>
  <si>
    <t>3Z</t>
  </si>
  <si>
    <t>Recebível + Estoque</t>
  </si>
  <si>
    <t>47% (Estoque e Recebíveis)</t>
  </si>
  <si>
    <t>Paes e Gregori</t>
  </si>
  <si>
    <t>Bari</t>
  </si>
  <si>
    <t xml:space="preserve">Sudeste, Sul e Centro-oeste </t>
  </si>
  <si>
    <t xml:space="preserve">PHV </t>
  </si>
  <si>
    <t>Comercial</t>
  </si>
  <si>
    <t xml:space="preserve">Helbor </t>
  </si>
  <si>
    <t xml:space="preserve">Bari 2 </t>
  </si>
  <si>
    <t>68% Sudeste, 22% Sul, 10%</t>
  </si>
  <si>
    <t>São Benedito</t>
  </si>
  <si>
    <t>INCC+</t>
  </si>
  <si>
    <t xml:space="preserve">Somos </t>
  </si>
  <si>
    <t>Equity</t>
  </si>
  <si>
    <t>Epiroc</t>
  </si>
  <si>
    <t>Obra</t>
  </si>
  <si>
    <t>Bioma</t>
  </si>
  <si>
    <t>Lendme</t>
  </si>
  <si>
    <t>Bari 3</t>
  </si>
  <si>
    <t>Caixa</t>
  </si>
  <si>
    <t>VGIR11</t>
  </si>
  <si>
    <t>Fundo</t>
  </si>
  <si>
    <t>Títulos de Crédito</t>
  </si>
  <si>
    <t>XPCI11</t>
  </si>
  <si>
    <t>CPTS11</t>
  </si>
  <si>
    <t>22E1178070</t>
  </si>
  <si>
    <t>Vortx</t>
  </si>
  <si>
    <t>21H0892530</t>
  </si>
  <si>
    <t>21I0683349</t>
  </si>
  <si>
    <t>21L0735965</t>
  </si>
  <si>
    <t>22J1370286</t>
  </si>
  <si>
    <t>22C0899517</t>
  </si>
  <si>
    <t>22H1116780</t>
  </si>
  <si>
    <t>22H1389755</t>
  </si>
  <si>
    <t>22H1104501</t>
  </si>
  <si>
    <t>22I0099580</t>
  </si>
  <si>
    <t>22L1607693</t>
  </si>
  <si>
    <t>23F2910406</t>
  </si>
  <si>
    <t>23H2512601</t>
  </si>
  <si>
    <t>23G2246560</t>
  </si>
  <si>
    <t>23B0508037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</si>
  <si>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</si>
  <si>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</si>
  <si>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</si>
  <si>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</si>
  <si>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</si>
  <si>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</si>
  <si>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</si>
  <si>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</si>
  <si>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</si>
  <si>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1,00% a.a.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</si>
  <si>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</si>
  <si>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</si>
  <si>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</si>
  <si>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</si>
  <si>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</si>
  <si>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</si>
  <si>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</si>
  <si>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Média Diária de Liquidez - 30 dias</t>
  </si>
  <si>
    <t>Fluxo Financeiro</t>
  </si>
  <si>
    <t>Desde que entrou na bolsa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</si>
  <si>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</si>
  <si>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</si>
  <si>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</si>
  <si>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</si>
  <si>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</si>
  <si>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</si>
  <si>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</si>
  <si>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</si>
  <si>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</si>
  <si>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</si>
  <si>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</si>
  <si>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</si>
  <si>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</si>
  <si>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</si>
  <si>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</si>
  <si>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</si>
  <si>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</si>
  <si>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</si>
  <si>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</si>
  <si>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</si>
  <si>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</si>
  <si>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</si>
  <si>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Yield médio anualizado desde o início na B3</t>
  </si>
  <si>
    <t>Rentabilidade futura para ativo INCC +</t>
  </si>
  <si>
    <t>Cota</t>
  </si>
  <si>
    <t>Única</t>
  </si>
  <si>
    <t>% Colateral/Subordinação</t>
  </si>
  <si>
    <t>DI+</t>
  </si>
  <si>
    <t>Dividendos médio desde o início na B3</t>
  </si>
  <si>
    <t>Virgo</t>
  </si>
  <si>
    <t>Vert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</si>
  <si>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</si>
  <si>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</si>
  <si>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</si>
  <si>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</si>
  <si>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</si>
  <si>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</si>
  <si>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</si>
  <si>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</si>
  <si>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</si>
  <si>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</si>
  <si>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</si>
  <si>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</si>
  <si>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</si>
  <si>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</si>
  <si>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</si>
  <si>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</si>
  <si>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</si>
  <si>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22L1473410 &amp; 23I1966031</t>
  </si>
  <si>
    <t>Lorena</t>
  </si>
  <si>
    <t>23H0153033</t>
  </si>
  <si>
    <t>Pereda 1</t>
  </si>
  <si>
    <t>Pereda 2</t>
  </si>
  <si>
    <t>Technion</t>
  </si>
  <si>
    <t>-</t>
  </si>
  <si>
    <t>CRI</t>
  </si>
  <si>
    <t>FII</t>
  </si>
  <si>
    <t>Co-inc</t>
  </si>
  <si>
    <t>MRV_Flex</t>
  </si>
  <si>
    <t>23L1605236</t>
  </si>
  <si>
    <t>Alavancagem compromissada</t>
  </si>
  <si>
    <t>XP</t>
  </si>
  <si>
    <t>Aquisição - SP</t>
  </si>
  <si>
    <t>Rentabilidade futura para ativo CDI + - MTM</t>
  </si>
  <si>
    <t>Rentabilidade futura para ativo IPCA + - MTM</t>
  </si>
  <si>
    <t>Rentabilidade futura para ativo IPCA + - Curva</t>
  </si>
  <si>
    <t>Rentabilidade futura para ativo CDI + - Curva</t>
  </si>
  <si>
    <t>Diversos</t>
  </si>
  <si>
    <t>Quantidade</t>
  </si>
  <si>
    <t>R$ 256 mil</t>
  </si>
  <si>
    <t>Shopping Itaquera</t>
  </si>
  <si>
    <t>24C1526928</t>
  </si>
  <si>
    <t>CRI¹</t>
  </si>
  <si>
    <t>¹ operação líquidada dia 01/04.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</si>
</sst>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2" formatCode="#,##0.0"/>
  </numFmts>
  <fonts count="16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b/>
      <sz val="11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8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0" fontId="9" fillId="0" borderId="0" xfId="1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9" fontId="10" fillId="0" borderId="0" xfId="0" applyNumberFormat="1" applyFont="1" applyFill="1" applyBorder="1" applyAlignment="1">
      <alignment horizontal="center" vertical="center" readingOrder="1"/>
    </xf>
    <xf numFmtId="0" fontId="10" fillId="0" borderId="0" xfId="0" quotePrefix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2" fillId="3" borderId="1" xfId="0" applyFont="1" applyFill="1" applyBorder="1" applyAlignment="1">
      <alignment vertical="center"/>
    </xf>
    <xf numFmtId="17" fontId="1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left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72" fontId="9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9" fillId="0" borderId="0" xfId="0" applyNumberFormat="1" applyFont="1" applyFill="1" applyAlignment="1">
      <alignment horizontal="center"/>
    </xf>
    <xf numFmtId="9" fontId="9" fillId="0" borderId="0" xfId="0" applyNumberFormat="1" applyFont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8" fontId="5" fillId="0" borderId="0" xfId="2" applyNumberFormat="1" applyFont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4" fontId="4" fillId="0" borderId="0" xfId="0" applyNumberFormat="1" applyFont="1" applyAlignment="1">
      <alignment vertical="center"/>
    </xf>
    <xf numFmtId="0" fontId="15" fillId="0" borderId="0" xfId="0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139123</xdr:rowOff>
    </xdr:from>
    <xdr:to>
      <xdr:col>7</xdr:col>
      <xdr:colOff>15883</xdr:colOff>
      <xdr:row>20</xdr:row>
      <xdr:rowOff>139123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8337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8338" name="Agrupar 11"/>
        <xdr:cNvGrpSpPr>
          <a:grpSpLocks/>
        </xdr:cNvGrpSpPr>
      </xdr:nvGrpSpPr>
      <xdr:grpSpPr bwMode="auto">
        <a:xfrm>
          <a:off x="552450" y="981075"/>
          <a:ext cx="1171575" cy="571500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8341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139123</xdr:rowOff>
    </xdr:from>
    <xdr:to>
      <xdr:col>14</xdr:col>
      <xdr:colOff>1</xdr:colOff>
      <xdr:row>20</xdr:row>
      <xdr:rowOff>139123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4092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4093" name="Agrupar 16"/>
        <xdr:cNvGrpSpPr>
          <a:grpSpLocks/>
        </xdr:cNvGrpSpPr>
      </xdr:nvGrpSpPr>
      <xdr:grpSpPr bwMode="auto">
        <a:xfrm>
          <a:off x="190500" y="676275"/>
          <a:ext cx="1171575" cy="58102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095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5089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5090" name="Agrupar 6"/>
        <xdr:cNvGrpSpPr>
          <a:grpSpLocks/>
        </xdr:cNvGrpSpPr>
      </xdr:nvGrpSpPr>
      <xdr:grpSpPr bwMode="auto">
        <a:xfrm>
          <a:off x="190500" y="676275"/>
          <a:ext cx="1171575" cy="56197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092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Normal="100" workbookViewId="0"/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53</v>
      </c>
      <c r="G3" s="6"/>
      <c r="H3" s="5"/>
      <c r="J3" s="7" t="s">
        <v>88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79" t="s">
        <v>58</v>
      </c>
      <c r="F5" s="79"/>
      <c r="G5" s="80"/>
      <c r="H5" s="5"/>
      <c r="L5" s="79"/>
      <c r="M5" s="79"/>
      <c r="N5" s="80"/>
    </row>
    <row r="6" spans="1:14" x14ac:dyDescent="0.3">
      <c r="A6" s="5"/>
      <c r="E6" s="79"/>
      <c r="F6" s="79"/>
      <c r="G6" s="80"/>
      <c r="H6" s="5"/>
      <c r="L6" s="79"/>
      <c r="M6" s="79"/>
      <c r="N6" s="80"/>
    </row>
    <row r="7" spans="1:14" x14ac:dyDescent="0.3">
      <c r="A7" s="5"/>
      <c r="E7" s="79"/>
      <c r="F7" s="79"/>
      <c r="G7" s="80"/>
      <c r="H7" s="5"/>
      <c r="L7" s="79"/>
      <c r="M7" s="79"/>
      <c r="N7" s="80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6">
        <v>159277687.28</v>
      </c>
      <c r="D9" s="22"/>
      <c r="E9" s="16">
        <v>0.11</v>
      </c>
      <c r="F9" s="22"/>
      <c r="G9" s="67">
        <v>15738</v>
      </c>
      <c r="H9" s="5"/>
      <c r="J9" s="69">
        <f>(1+DRE!AM21/DRE!AM23/10)^12-1</f>
        <v>0.14585847585432288</v>
      </c>
      <c r="K9" s="22"/>
      <c r="L9" s="69">
        <f>(1+AVERAGE(DRE!$K$21:$AM$21)/DRE!$AM$23/10)^12-1</f>
        <v>0.14638450064824271</v>
      </c>
      <c r="M9" s="57"/>
      <c r="N9" s="58">
        <f>N12/(1+22.5%)</f>
        <v>1.332903886479561</v>
      </c>
    </row>
    <row r="10" spans="1:14" x14ac:dyDescent="0.3">
      <c r="A10" s="5"/>
      <c r="C10" s="9" t="s">
        <v>54</v>
      </c>
      <c r="D10" s="10"/>
      <c r="E10" s="9" t="s">
        <v>87</v>
      </c>
      <c r="F10" s="10"/>
      <c r="G10" s="18" t="s">
        <v>55</v>
      </c>
      <c r="H10" s="5"/>
      <c r="J10" s="9" t="s">
        <v>85</v>
      </c>
      <c r="K10" s="10"/>
      <c r="L10" s="9" t="s">
        <v>94</v>
      </c>
      <c r="M10" s="10"/>
      <c r="N10" s="18" t="s">
        <v>92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C9/16315840</f>
        <v>9.7621506021142643</v>
      </c>
      <c r="D12" s="10"/>
      <c r="E12" s="16" t="s">
        <v>61</v>
      </c>
      <c r="F12" s="10"/>
      <c r="G12" s="17" t="s">
        <v>141</v>
      </c>
      <c r="H12" s="5"/>
      <c r="J12" s="56">
        <v>0.39823501819355478</v>
      </c>
      <c r="K12" s="10"/>
      <c r="L12" s="15">
        <f>AVERAGE(DRE!$K$21:$AM$21)</f>
        <v>1.1037291275862069</v>
      </c>
      <c r="M12" s="10"/>
      <c r="N12" s="59">
        <v>1.6328072609374624</v>
      </c>
    </row>
    <row r="13" spans="1:14" x14ac:dyDescent="0.3">
      <c r="A13" s="5"/>
      <c r="C13" s="9" t="s">
        <v>90</v>
      </c>
      <c r="D13" s="10"/>
      <c r="E13" s="9" t="s">
        <v>62</v>
      </c>
      <c r="F13" s="10"/>
      <c r="G13" s="18" t="s">
        <v>69</v>
      </c>
      <c r="H13" s="5"/>
      <c r="J13" s="9" t="s">
        <v>89</v>
      </c>
      <c r="K13" s="10"/>
      <c r="L13" s="9" t="s">
        <v>100</v>
      </c>
      <c r="M13" s="10"/>
      <c r="N13" s="18" t="s">
        <v>93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6">
        <v>157284697.60000002</v>
      </c>
      <c r="D15" s="10"/>
      <c r="E15" s="21" t="s">
        <v>64</v>
      </c>
      <c r="F15" s="10"/>
      <c r="G15" s="20">
        <v>44368</v>
      </c>
      <c r="H15" s="5"/>
      <c r="J15" s="74">
        <v>3.3380270851174884E-2</v>
      </c>
      <c r="K15" s="73"/>
      <c r="L15" s="74">
        <v>9.8973736900484832E-2</v>
      </c>
      <c r="M15" s="10"/>
      <c r="N15" s="59">
        <v>0.23799999999999999</v>
      </c>
    </row>
    <row r="16" spans="1:14" x14ac:dyDescent="0.3">
      <c r="A16" s="5"/>
      <c r="C16" s="9" t="s">
        <v>59</v>
      </c>
      <c r="D16" s="10"/>
      <c r="E16" s="9" t="s">
        <v>63</v>
      </c>
      <c r="F16" s="10"/>
      <c r="G16" s="18" t="s">
        <v>56</v>
      </c>
      <c r="H16" s="5"/>
      <c r="J16" s="75" t="s">
        <v>138</v>
      </c>
      <c r="K16" s="73"/>
      <c r="L16" s="75" t="s">
        <v>137</v>
      </c>
      <c r="M16" s="10"/>
      <c r="N16" s="18" t="s">
        <v>95</v>
      </c>
    </row>
    <row r="17" spans="1:14" x14ac:dyDescent="0.3">
      <c r="A17" s="5"/>
      <c r="C17" s="9"/>
      <c r="D17" s="10"/>
      <c r="E17" s="9"/>
      <c r="F17" s="10"/>
      <c r="G17" s="18"/>
      <c r="H17" s="5"/>
      <c r="J17" s="75"/>
      <c r="K17" s="73"/>
      <c r="L17" s="75"/>
      <c r="M17" s="10"/>
      <c r="N17" s="18"/>
    </row>
    <row r="18" spans="1:14" ht="22.5" x14ac:dyDescent="0.3">
      <c r="A18" s="5"/>
      <c r="C18" s="66">
        <f>C15/16315840</f>
        <v>9.6400000000000023</v>
      </c>
      <c r="D18" s="10"/>
      <c r="E18" s="21"/>
      <c r="F18" s="10"/>
      <c r="G18" s="20"/>
      <c r="H18" s="5"/>
      <c r="J18" s="74">
        <v>3.3454037723413009E-2</v>
      </c>
      <c r="K18" s="73"/>
      <c r="L18" s="74">
        <v>9.8748955389740559E-2</v>
      </c>
      <c r="M18" s="10"/>
      <c r="N18" s="59"/>
    </row>
    <row r="19" spans="1:14" x14ac:dyDescent="0.3">
      <c r="A19" s="5"/>
      <c r="C19" s="9" t="s">
        <v>91</v>
      </c>
      <c r="D19" s="10"/>
      <c r="E19" s="9" t="s">
        <v>60</v>
      </c>
      <c r="F19" s="76">
        <v>45379</v>
      </c>
      <c r="G19" s="18"/>
      <c r="H19" s="5"/>
      <c r="J19" s="75" t="s">
        <v>135</v>
      </c>
      <c r="K19" s="73"/>
      <c r="L19" s="75" t="s">
        <v>136</v>
      </c>
      <c r="M19" s="10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54"/>
  <sheetViews>
    <sheetView showGridLines="0" topLeftCell="A4" zoomScaleNormal="100" workbookViewId="0">
      <selection activeCell="L23" sqref="L23"/>
    </sheetView>
  </sheetViews>
  <sheetFormatPr defaultRowHeight="16.5" x14ac:dyDescent="0.3"/>
  <cols>
    <col min="1" max="4" width="6.7109375" style="4" customWidth="1"/>
    <col min="5" max="5" width="19.42578125" style="4" bestFit="1" customWidth="1"/>
    <col min="6" max="6" width="12.28515625" style="4" bestFit="1" customWidth="1"/>
    <col min="7" max="7" width="18.85546875" style="4" bestFit="1" customWidth="1"/>
    <col min="8" max="8" width="5.28515625" style="4" bestFit="1" customWidth="1"/>
    <col min="9" max="9" width="11.5703125" style="4" bestFit="1" customWidth="1"/>
    <col min="10" max="10" width="8.5703125" style="4" bestFit="1" customWidth="1"/>
    <col min="11" max="11" width="14" style="4" customWidth="1"/>
    <col min="12" max="12" width="10.42578125" style="4" bestFit="1" customWidth="1"/>
    <col min="13" max="13" width="9.5703125" style="4" bestFit="1" customWidth="1"/>
    <col min="14" max="14" width="9.28515625" style="4" customWidth="1"/>
    <col min="15" max="15" width="10.42578125" style="4" bestFit="1" customWidth="1"/>
    <col min="16" max="16" width="8.140625" style="4" bestFit="1" customWidth="1"/>
    <col min="17" max="17" width="13.42578125" style="4" customWidth="1"/>
    <col min="18" max="18" width="18.28515625" style="4" bestFit="1" customWidth="1"/>
    <col min="19" max="19" width="18.7109375" style="4" customWidth="1"/>
    <col min="20" max="20" width="15.140625" style="4" customWidth="1"/>
    <col min="21" max="21" width="17.85546875" style="4" customWidth="1"/>
    <col min="22" max="22" width="4.7109375" style="4" customWidth="1"/>
    <col min="23" max="23" width="20" style="4" customWidth="1"/>
    <col min="24" max="24" width="13.7109375" style="4" bestFit="1" customWidth="1"/>
    <col min="25" max="25" width="11.5703125" style="4" bestFit="1" customWidth="1"/>
    <col min="26" max="16384" width="9.140625" style="4"/>
  </cols>
  <sheetData>
    <row r="1" spans="3:25" x14ac:dyDescent="0.3">
      <c r="C1" s="77"/>
    </row>
    <row r="3" spans="3:25" x14ac:dyDescent="0.3">
      <c r="R3" s="64"/>
    </row>
    <row r="4" spans="3:25" x14ac:dyDescent="0.3">
      <c r="R4" s="65"/>
    </row>
    <row r="5" spans="3:25" x14ac:dyDescent="0.3">
      <c r="R5" s="64"/>
    </row>
    <row r="6" spans="3:25" ht="17.25" thickBot="1" x14ac:dyDescent="0.35"/>
    <row r="7" spans="3:25" x14ac:dyDescent="0.3">
      <c r="E7" s="36" t="s">
        <v>1</v>
      </c>
      <c r="F7" s="37" t="s">
        <v>107</v>
      </c>
      <c r="G7" s="37" t="s">
        <v>108</v>
      </c>
      <c r="H7" s="37" t="s">
        <v>110</v>
      </c>
      <c r="I7" s="37" t="s">
        <v>111</v>
      </c>
      <c r="J7" s="37" t="s">
        <v>112</v>
      </c>
      <c r="K7" s="37" t="s">
        <v>140</v>
      </c>
      <c r="L7" s="37" t="s">
        <v>113</v>
      </c>
      <c r="M7" s="37" t="s">
        <v>115</v>
      </c>
      <c r="N7" s="37" t="s">
        <v>116</v>
      </c>
      <c r="O7" s="37" t="s">
        <v>117</v>
      </c>
      <c r="P7" s="37" t="s">
        <v>0</v>
      </c>
      <c r="Q7" s="37" t="s">
        <v>1</v>
      </c>
      <c r="R7" s="37" t="s">
        <v>57</v>
      </c>
      <c r="S7" s="37" t="s">
        <v>66</v>
      </c>
      <c r="T7" s="37" t="s">
        <v>67</v>
      </c>
      <c r="U7" s="37" t="s">
        <v>65</v>
      </c>
      <c r="V7" s="37" t="s">
        <v>96</v>
      </c>
      <c r="W7" s="37" t="s">
        <v>98</v>
      </c>
      <c r="X7" s="37" t="s">
        <v>118</v>
      </c>
      <c r="Y7" s="37" t="s">
        <v>119</v>
      </c>
    </row>
    <row r="8" spans="3:25" x14ac:dyDescent="0.3">
      <c r="E8" s="38" t="s">
        <v>127</v>
      </c>
      <c r="F8" s="38" t="s">
        <v>13</v>
      </c>
      <c r="G8" s="24" t="s">
        <v>41</v>
      </c>
      <c r="H8" s="23" t="s">
        <v>3</v>
      </c>
      <c r="I8" s="29">
        <v>0.109</v>
      </c>
      <c r="J8" s="29">
        <v>0.10903229554427152</v>
      </c>
      <c r="K8" s="30">
        <v>15045</v>
      </c>
      <c r="L8" s="30">
        <v>15045000</v>
      </c>
      <c r="M8" s="30">
        <v>15095092.958788201</v>
      </c>
      <c r="N8" s="30">
        <v>15033008.3276853</v>
      </c>
      <c r="O8" s="26">
        <f t="shared" ref="O8:O26" si="0">M8/SUM($M:$M)</f>
        <v>9.3479890365905594E-2</v>
      </c>
      <c r="P8" s="28" t="s">
        <v>2</v>
      </c>
      <c r="Q8" s="28" t="s">
        <v>26</v>
      </c>
      <c r="R8" s="32">
        <v>0.33</v>
      </c>
      <c r="S8" s="28" t="s">
        <v>4</v>
      </c>
      <c r="T8" s="61">
        <v>3</v>
      </c>
      <c r="U8" s="31">
        <v>45962</v>
      </c>
      <c r="V8" s="38" t="s">
        <v>97</v>
      </c>
      <c r="W8" s="68" t="s">
        <v>52</v>
      </c>
      <c r="X8" s="24" t="s">
        <v>109</v>
      </c>
      <c r="Y8" s="24" t="s">
        <v>104</v>
      </c>
    </row>
    <row r="9" spans="3:25" x14ac:dyDescent="0.3">
      <c r="E9" s="38" t="s">
        <v>127</v>
      </c>
      <c r="F9" s="40" t="s">
        <v>125</v>
      </c>
      <c r="G9" s="24" t="s">
        <v>122</v>
      </c>
      <c r="H9" s="23" t="s">
        <v>3</v>
      </c>
      <c r="I9" s="29">
        <v>0.12</v>
      </c>
      <c r="J9" s="29">
        <v>0.12127307750526684</v>
      </c>
      <c r="K9" s="30">
        <v>15000</v>
      </c>
      <c r="L9" s="30">
        <v>15000000</v>
      </c>
      <c r="M9" s="35">
        <v>13957099.74375</v>
      </c>
      <c r="N9" s="35">
        <v>13796695.43475</v>
      </c>
      <c r="O9" s="26">
        <f t="shared" si="0"/>
        <v>8.6432601470809223E-2</v>
      </c>
      <c r="P9" s="33" t="s">
        <v>17</v>
      </c>
      <c r="Q9" s="28" t="s">
        <v>26</v>
      </c>
      <c r="R9" s="32">
        <v>0.75</v>
      </c>
      <c r="S9" s="28" t="s">
        <v>4</v>
      </c>
      <c r="T9" s="61">
        <v>1.7</v>
      </c>
      <c r="U9" s="31">
        <v>46364</v>
      </c>
      <c r="V9" s="38" t="s">
        <v>68</v>
      </c>
      <c r="W9" s="29">
        <v>0.25</v>
      </c>
      <c r="X9" s="24" t="s">
        <v>109</v>
      </c>
      <c r="Y9" s="24" t="s">
        <v>104</v>
      </c>
    </row>
    <row r="10" spans="3:25" x14ac:dyDescent="0.3">
      <c r="E10" s="38" t="s">
        <v>127</v>
      </c>
      <c r="F10" s="38" t="s">
        <v>124</v>
      </c>
      <c r="G10" s="24" t="s">
        <v>120</v>
      </c>
      <c r="H10" s="23" t="s">
        <v>3</v>
      </c>
      <c r="I10" s="29">
        <v>9.7500000000000003E-2</v>
      </c>
      <c r="J10" s="29">
        <v>9.6282246445246633E-2</v>
      </c>
      <c r="K10" s="30">
        <v>15518</v>
      </c>
      <c r="L10" s="30">
        <v>15518000</v>
      </c>
      <c r="M10" s="35">
        <v>13947464.034318401</v>
      </c>
      <c r="N10" s="35">
        <v>14072379.8224457</v>
      </c>
      <c r="O10" s="26">
        <f t="shared" si="0"/>
        <v>8.6372930088610855E-2</v>
      </c>
      <c r="P10" s="23" t="s">
        <v>7</v>
      </c>
      <c r="Q10" s="28" t="s">
        <v>7</v>
      </c>
      <c r="R10" s="32">
        <v>0.5</v>
      </c>
      <c r="S10" s="28" t="s">
        <v>4</v>
      </c>
      <c r="T10" s="61">
        <v>6</v>
      </c>
      <c r="U10" s="31">
        <v>50901</v>
      </c>
      <c r="V10" s="38" t="s">
        <v>97</v>
      </c>
      <c r="W10" s="68">
        <v>0.2</v>
      </c>
      <c r="X10" s="24" t="s">
        <v>109</v>
      </c>
      <c r="Y10" s="24" t="s">
        <v>101</v>
      </c>
    </row>
    <row r="11" spans="3:25" x14ac:dyDescent="0.3">
      <c r="E11" s="38" t="s">
        <v>127</v>
      </c>
      <c r="F11" s="38" t="s">
        <v>16</v>
      </c>
      <c r="G11" s="24" t="s">
        <v>44</v>
      </c>
      <c r="H11" s="23" t="s">
        <v>99</v>
      </c>
      <c r="I11" s="29">
        <v>3.5000000000000003E-2</v>
      </c>
      <c r="J11" s="29">
        <v>3.4999999898071676E-2</v>
      </c>
      <c r="K11" s="30">
        <v>15500</v>
      </c>
      <c r="L11" s="30">
        <v>15500000</v>
      </c>
      <c r="M11" s="35">
        <v>13154782.800215</v>
      </c>
      <c r="N11" s="35">
        <v>13154782.880350001</v>
      </c>
      <c r="O11" s="26">
        <f t="shared" si="0"/>
        <v>8.1464066323319734E-2</v>
      </c>
      <c r="P11" s="28" t="s">
        <v>17</v>
      </c>
      <c r="Q11" s="28" t="s">
        <v>9</v>
      </c>
      <c r="R11" s="32">
        <v>0.42</v>
      </c>
      <c r="S11" s="28" t="s">
        <v>4</v>
      </c>
      <c r="T11" s="61">
        <v>3</v>
      </c>
      <c r="U11" s="31">
        <v>47352</v>
      </c>
      <c r="V11" s="38" t="s">
        <v>97</v>
      </c>
      <c r="W11" s="68" t="s">
        <v>52</v>
      </c>
      <c r="X11" s="24" t="s">
        <v>109</v>
      </c>
      <c r="Y11" s="24" t="s">
        <v>104</v>
      </c>
    </row>
    <row r="12" spans="3:25" x14ac:dyDescent="0.3">
      <c r="E12" s="38" t="s">
        <v>127</v>
      </c>
      <c r="F12" s="38" t="s">
        <v>123</v>
      </c>
      <c r="G12" s="24" t="s">
        <v>40</v>
      </c>
      <c r="H12" s="23" t="s">
        <v>3</v>
      </c>
      <c r="I12" s="29">
        <v>0.08</v>
      </c>
      <c r="J12" s="29">
        <v>7.7110777895339488E-2</v>
      </c>
      <c r="K12" s="30">
        <v>12000</v>
      </c>
      <c r="L12" s="30">
        <v>12000000</v>
      </c>
      <c r="M12" s="35">
        <v>11860403.972040001</v>
      </c>
      <c r="N12" s="35">
        <v>12181765.91532</v>
      </c>
      <c r="O12" s="26">
        <f t="shared" si="0"/>
        <v>7.3448322976783775E-2</v>
      </c>
      <c r="P12" s="23" t="s">
        <v>7</v>
      </c>
      <c r="Q12" s="28" t="s">
        <v>7</v>
      </c>
      <c r="R12" s="32">
        <v>0.54</v>
      </c>
      <c r="S12" s="28" t="s">
        <v>4</v>
      </c>
      <c r="T12" s="61">
        <v>5.7</v>
      </c>
      <c r="U12" s="31">
        <v>50782</v>
      </c>
      <c r="V12" s="38" t="s">
        <v>97</v>
      </c>
      <c r="W12" s="68">
        <v>0.19</v>
      </c>
      <c r="X12" s="24" t="s">
        <v>109</v>
      </c>
      <c r="Y12" s="24" t="s">
        <v>101</v>
      </c>
    </row>
    <row r="13" spans="3:25" x14ac:dyDescent="0.3">
      <c r="E13" s="38" t="s">
        <v>127</v>
      </c>
      <c r="F13" s="40" t="s">
        <v>28</v>
      </c>
      <c r="G13" s="24" t="s">
        <v>50</v>
      </c>
      <c r="H13" s="23" t="s">
        <v>3</v>
      </c>
      <c r="I13" s="29">
        <v>0.12</v>
      </c>
      <c r="J13" s="29">
        <v>0.11973323264909497</v>
      </c>
      <c r="K13" s="30">
        <v>1195472086</v>
      </c>
      <c r="L13" s="30">
        <v>11954720.859999999</v>
      </c>
      <c r="M13" s="35">
        <v>11612337.6545696</v>
      </c>
      <c r="N13" s="35">
        <v>11597023.65714794</v>
      </c>
      <c r="O13" s="26">
        <f t="shared" si="0"/>
        <v>7.1912114341042555E-2</v>
      </c>
      <c r="P13" s="33" t="s">
        <v>7</v>
      </c>
      <c r="Q13" s="28" t="s">
        <v>7</v>
      </c>
      <c r="R13" s="32">
        <v>0.27550000000000002</v>
      </c>
      <c r="S13" s="28" t="s">
        <v>4</v>
      </c>
      <c r="T13" s="61">
        <v>9.1</v>
      </c>
      <c r="U13" s="31">
        <v>52249</v>
      </c>
      <c r="V13" s="38" t="s">
        <v>97</v>
      </c>
      <c r="W13" s="29">
        <v>0.35</v>
      </c>
      <c r="X13" s="24" t="s">
        <v>109</v>
      </c>
      <c r="Y13" s="24" t="s">
        <v>106</v>
      </c>
    </row>
    <row r="14" spans="3:25" x14ac:dyDescent="0.3">
      <c r="E14" s="38" t="s">
        <v>127</v>
      </c>
      <c r="F14" s="40" t="s">
        <v>130</v>
      </c>
      <c r="G14" s="24" t="s">
        <v>131</v>
      </c>
      <c r="H14" s="23" t="s">
        <v>3</v>
      </c>
      <c r="I14" s="29">
        <v>0.1007</v>
      </c>
      <c r="J14" s="29">
        <v>0.10165146973338191</v>
      </c>
      <c r="K14" s="30">
        <v>10307980</v>
      </c>
      <c r="L14" s="30">
        <v>10454322.390000001</v>
      </c>
      <c r="M14" s="35">
        <v>10615033.7990006</v>
      </c>
      <c r="N14" s="35">
        <v>10499001.197492199</v>
      </c>
      <c r="O14" s="26">
        <f t="shared" si="0"/>
        <v>6.5736077178859403E-2</v>
      </c>
      <c r="P14" s="33" t="s">
        <v>2</v>
      </c>
      <c r="Q14" s="28" t="s">
        <v>7</v>
      </c>
      <c r="R14" s="32">
        <v>0.64530683154788249</v>
      </c>
      <c r="S14" s="28" t="s">
        <v>139</v>
      </c>
      <c r="T14" s="61">
        <v>5.1100000000000003</v>
      </c>
      <c r="U14" s="31">
        <v>49202</v>
      </c>
      <c r="V14" s="38" t="s">
        <v>68</v>
      </c>
      <c r="W14" s="29">
        <v>0.1875</v>
      </c>
      <c r="X14" s="24" t="s">
        <v>109</v>
      </c>
      <c r="Y14" s="24" t="s">
        <v>103</v>
      </c>
    </row>
    <row r="15" spans="3:25" x14ac:dyDescent="0.3">
      <c r="E15" s="38" t="s">
        <v>127</v>
      </c>
      <c r="F15" s="40" t="s">
        <v>25</v>
      </c>
      <c r="G15" s="24" t="s">
        <v>48</v>
      </c>
      <c r="H15" s="23" t="s">
        <v>3</v>
      </c>
      <c r="I15" s="29">
        <v>0.11</v>
      </c>
      <c r="J15" s="24">
        <v>0.11021197009527284</v>
      </c>
      <c r="K15" s="30">
        <v>10514</v>
      </c>
      <c r="L15" s="35">
        <v>10500000</v>
      </c>
      <c r="M15" s="35">
        <v>10505424.804941081</v>
      </c>
      <c r="N15" s="35">
        <v>10468819.873404481</v>
      </c>
      <c r="O15" s="26">
        <f t="shared" si="0"/>
        <v>6.5057297871188052E-2</v>
      </c>
      <c r="P15" s="28" t="s">
        <v>17</v>
      </c>
      <c r="Q15" s="28" t="s">
        <v>26</v>
      </c>
      <c r="R15" s="32">
        <v>0.77011494252873569</v>
      </c>
      <c r="S15" s="28" t="s">
        <v>4</v>
      </c>
      <c r="T15" s="62">
        <v>3.1</v>
      </c>
      <c r="U15" s="31">
        <v>48871</v>
      </c>
      <c r="V15" s="40" t="s">
        <v>52</v>
      </c>
      <c r="W15" s="29" t="s">
        <v>52</v>
      </c>
      <c r="X15" s="40" t="s">
        <v>109</v>
      </c>
      <c r="Y15" s="24" t="s">
        <v>103</v>
      </c>
    </row>
    <row r="16" spans="3:25" x14ac:dyDescent="0.3">
      <c r="E16" s="38" t="s">
        <v>127</v>
      </c>
      <c r="F16" s="38" t="s">
        <v>134</v>
      </c>
      <c r="G16" s="24" t="s">
        <v>43</v>
      </c>
      <c r="H16" s="23" t="s">
        <v>3</v>
      </c>
      <c r="I16" s="29">
        <v>8.7999999999999995E-2</v>
      </c>
      <c r="J16" s="29">
        <v>8.7064693731893295E-2</v>
      </c>
      <c r="K16" s="30">
        <v>10288</v>
      </c>
      <c r="L16" s="30">
        <v>15192124.709999999</v>
      </c>
      <c r="M16" s="35">
        <v>10132959.730844319</v>
      </c>
      <c r="N16" s="35">
        <v>10186982.79301632</v>
      </c>
      <c r="O16" s="26">
        <f t="shared" si="0"/>
        <v>6.2750720867207191E-2</v>
      </c>
      <c r="P16" s="28" t="s">
        <v>2</v>
      </c>
      <c r="Q16" s="28" t="s">
        <v>11</v>
      </c>
      <c r="R16" s="32">
        <v>0.7</v>
      </c>
      <c r="S16" s="28" t="s">
        <v>4</v>
      </c>
      <c r="T16" s="61">
        <v>4</v>
      </c>
      <c r="U16" s="31">
        <v>46615</v>
      </c>
      <c r="V16" s="38" t="s">
        <v>68</v>
      </c>
      <c r="W16" s="68">
        <v>0.13784045055288852</v>
      </c>
      <c r="X16" s="24" t="s">
        <v>37</v>
      </c>
      <c r="Y16" s="24" t="s">
        <v>101</v>
      </c>
    </row>
    <row r="17" spans="5:25" x14ac:dyDescent="0.3">
      <c r="E17" s="38" t="s">
        <v>127</v>
      </c>
      <c r="F17" s="38" t="s">
        <v>6</v>
      </c>
      <c r="G17" s="24" t="s">
        <v>36</v>
      </c>
      <c r="H17" s="23" t="s">
        <v>3</v>
      </c>
      <c r="I17" s="24">
        <v>0.09</v>
      </c>
      <c r="J17" s="24">
        <v>8.97260334507608E-2</v>
      </c>
      <c r="K17" s="30">
        <v>9900</v>
      </c>
      <c r="L17" s="25">
        <v>9900000</v>
      </c>
      <c r="M17" s="35">
        <v>9275094.8450819999</v>
      </c>
      <c r="N17" s="35">
        <v>9232307.9175690003</v>
      </c>
      <c r="O17" s="26">
        <f t="shared" si="0"/>
        <v>5.7438192107777848E-2</v>
      </c>
      <c r="P17" s="23" t="s">
        <v>7</v>
      </c>
      <c r="Q17" s="23" t="s">
        <v>7</v>
      </c>
      <c r="R17" s="23" t="s">
        <v>8</v>
      </c>
      <c r="S17" s="23" t="s">
        <v>4</v>
      </c>
      <c r="T17" s="60">
        <v>1.8</v>
      </c>
      <c r="U17" s="27">
        <v>48710</v>
      </c>
      <c r="V17" s="38" t="s">
        <v>97</v>
      </c>
      <c r="W17" s="68">
        <v>0.45</v>
      </c>
      <c r="X17" s="24" t="s">
        <v>109</v>
      </c>
      <c r="Y17" s="24" t="s">
        <v>101</v>
      </c>
    </row>
    <row r="18" spans="5:25" x14ac:dyDescent="0.3">
      <c r="E18" s="38" t="s">
        <v>127</v>
      </c>
      <c r="F18" s="40" t="s">
        <v>21</v>
      </c>
      <c r="G18" s="24" t="s">
        <v>47</v>
      </c>
      <c r="H18" s="23" t="s">
        <v>99</v>
      </c>
      <c r="I18" s="29">
        <v>0.03</v>
      </c>
      <c r="J18" s="29">
        <v>3.0196623347296558E-2</v>
      </c>
      <c r="K18" s="30">
        <v>8013</v>
      </c>
      <c r="L18" s="30">
        <v>7999484.3200000003</v>
      </c>
      <c r="M18" s="35">
        <v>7372140.7235192694</v>
      </c>
      <c r="N18" s="35">
        <v>7325325.4783267798</v>
      </c>
      <c r="O18" s="26">
        <f t="shared" si="0"/>
        <v>4.5653704053236405E-2</v>
      </c>
      <c r="P18" s="28" t="s">
        <v>2</v>
      </c>
      <c r="Q18" s="28" t="s">
        <v>11</v>
      </c>
      <c r="R18" s="32">
        <v>0.62</v>
      </c>
      <c r="S18" s="28" t="s">
        <v>5</v>
      </c>
      <c r="T18" s="61">
        <v>3.3</v>
      </c>
      <c r="U18" s="31">
        <v>47499</v>
      </c>
      <c r="V18" s="38" t="s">
        <v>97</v>
      </c>
      <c r="W18" s="68" t="s">
        <v>52</v>
      </c>
      <c r="X18" s="24" t="s">
        <v>109</v>
      </c>
      <c r="Y18" s="24" t="s">
        <v>14</v>
      </c>
    </row>
    <row r="19" spans="5:25" x14ac:dyDescent="0.3">
      <c r="E19" s="38" t="s">
        <v>127</v>
      </c>
      <c r="F19" s="40" t="s">
        <v>29</v>
      </c>
      <c r="G19" s="24" t="s">
        <v>51</v>
      </c>
      <c r="H19" s="23" t="s">
        <v>3</v>
      </c>
      <c r="I19" s="29">
        <v>0.09</v>
      </c>
      <c r="J19" s="29">
        <v>8.5254027999726922E-2</v>
      </c>
      <c r="K19" s="30">
        <v>8000</v>
      </c>
      <c r="L19" s="30">
        <v>8000046.8900000006</v>
      </c>
      <c r="M19" s="35">
        <v>7128974.9542400008</v>
      </c>
      <c r="N19" s="35">
        <v>7452137.07816</v>
      </c>
      <c r="O19" s="26">
        <f t="shared" si="0"/>
        <v>4.414784320726306E-2</v>
      </c>
      <c r="P19" s="33" t="s">
        <v>7</v>
      </c>
      <c r="Q19" s="28" t="s">
        <v>7</v>
      </c>
      <c r="R19" s="32">
        <v>0.38</v>
      </c>
      <c r="S19" s="28" t="s">
        <v>20</v>
      </c>
      <c r="T19" s="61">
        <v>3.7</v>
      </c>
      <c r="U19" s="31">
        <v>15827</v>
      </c>
      <c r="V19" s="38" t="s">
        <v>97</v>
      </c>
      <c r="W19" s="29">
        <v>0.1</v>
      </c>
      <c r="X19" s="24" t="s">
        <v>109</v>
      </c>
      <c r="Y19" s="24" t="s">
        <v>14</v>
      </c>
    </row>
    <row r="20" spans="5:25" x14ac:dyDescent="0.3">
      <c r="E20" s="38" t="s">
        <v>127</v>
      </c>
      <c r="F20" s="38" t="s">
        <v>18</v>
      </c>
      <c r="G20" s="24" t="s">
        <v>45</v>
      </c>
      <c r="H20" s="23" t="s">
        <v>99</v>
      </c>
      <c r="I20" s="29">
        <v>2.4E-2</v>
      </c>
      <c r="J20" s="29">
        <v>2.5912678971177661E-2</v>
      </c>
      <c r="K20" s="30">
        <v>10025</v>
      </c>
      <c r="L20" s="30">
        <v>10000000</v>
      </c>
      <c r="M20" s="35">
        <v>5004075.5013752496</v>
      </c>
      <c r="N20" s="35">
        <v>4976186.6285640001</v>
      </c>
      <c r="O20" s="26">
        <f t="shared" si="0"/>
        <v>3.0988906827429347E-2</v>
      </c>
      <c r="P20" s="28" t="s">
        <v>2</v>
      </c>
      <c r="Q20" s="28" t="s">
        <v>9</v>
      </c>
      <c r="R20" s="32">
        <v>0.8</v>
      </c>
      <c r="S20" s="28" t="s">
        <v>4</v>
      </c>
      <c r="T20" s="61">
        <v>2.5</v>
      </c>
      <c r="U20" s="31">
        <v>46625</v>
      </c>
      <c r="V20" s="38" t="s">
        <v>97</v>
      </c>
      <c r="W20" s="68" t="s">
        <v>52</v>
      </c>
      <c r="X20" s="24" t="s">
        <v>109</v>
      </c>
      <c r="Y20" s="24" t="s">
        <v>14</v>
      </c>
    </row>
    <row r="21" spans="5:25" x14ac:dyDescent="0.3">
      <c r="E21" s="38" t="s">
        <v>127</v>
      </c>
      <c r="F21" s="38" t="s">
        <v>19</v>
      </c>
      <c r="G21" s="24" t="s">
        <v>46</v>
      </c>
      <c r="H21" s="23" t="s">
        <v>3</v>
      </c>
      <c r="I21" s="29">
        <v>7.7499999999999999E-2</v>
      </c>
      <c r="J21" s="29">
        <v>7.497896886705635E-2</v>
      </c>
      <c r="K21" s="30">
        <v>5000</v>
      </c>
      <c r="L21" s="30">
        <v>5002676.18</v>
      </c>
      <c r="M21" s="35">
        <v>4007723.0057499995</v>
      </c>
      <c r="N21" s="35">
        <v>4111257.2659499999</v>
      </c>
      <c r="O21" s="26">
        <f t="shared" si="0"/>
        <v>2.4818761183998891E-2</v>
      </c>
      <c r="P21" s="28" t="s">
        <v>7</v>
      </c>
      <c r="Q21" s="28" t="s">
        <v>7</v>
      </c>
      <c r="R21" s="32">
        <v>0.49</v>
      </c>
      <c r="S21" s="28" t="s">
        <v>20</v>
      </c>
      <c r="T21" s="61">
        <v>5.2</v>
      </c>
      <c r="U21" s="31">
        <v>15766</v>
      </c>
      <c r="V21" s="38" t="s">
        <v>68</v>
      </c>
      <c r="W21" s="68">
        <v>0.1</v>
      </c>
      <c r="X21" s="24" t="s">
        <v>109</v>
      </c>
      <c r="Y21" s="24" t="s">
        <v>14</v>
      </c>
    </row>
    <row r="22" spans="5:25" x14ac:dyDescent="0.3">
      <c r="E22" s="38" t="s">
        <v>127</v>
      </c>
      <c r="F22" s="40" t="s">
        <v>27</v>
      </c>
      <c r="G22" s="24" t="s">
        <v>49</v>
      </c>
      <c r="H22" s="23" t="s">
        <v>99</v>
      </c>
      <c r="I22" s="29">
        <v>0.05</v>
      </c>
      <c r="J22" s="24">
        <v>4.9999995984234769E-2</v>
      </c>
      <c r="K22" s="30">
        <v>3000</v>
      </c>
      <c r="L22" s="35">
        <v>3020373.87</v>
      </c>
      <c r="M22" s="35">
        <v>3016437.4440000001</v>
      </c>
      <c r="N22" s="35">
        <v>3016437.6834900002</v>
      </c>
      <c r="O22" s="26">
        <f t="shared" si="0"/>
        <v>1.8679993712563986E-2</v>
      </c>
      <c r="P22" s="33" t="s">
        <v>2</v>
      </c>
      <c r="Q22" s="28" t="s">
        <v>26</v>
      </c>
      <c r="R22" s="32">
        <v>0.44679999999999997</v>
      </c>
      <c r="S22" s="28" t="s">
        <v>4</v>
      </c>
      <c r="T22" s="62">
        <v>2.4</v>
      </c>
      <c r="U22" s="31">
        <v>46071</v>
      </c>
      <c r="V22" s="40" t="s">
        <v>52</v>
      </c>
      <c r="W22" s="29" t="s">
        <v>52</v>
      </c>
      <c r="X22" s="40" t="s">
        <v>109</v>
      </c>
      <c r="Y22" s="24" t="s">
        <v>105</v>
      </c>
    </row>
    <row r="23" spans="5:25" x14ac:dyDescent="0.3">
      <c r="E23" s="38" t="s">
        <v>127</v>
      </c>
      <c r="F23" s="38" t="s">
        <v>14</v>
      </c>
      <c r="G23" s="24" t="s">
        <v>42</v>
      </c>
      <c r="H23" s="23" t="s">
        <v>3</v>
      </c>
      <c r="I23" s="29">
        <v>7.2499999999999995E-2</v>
      </c>
      <c r="J23" s="29">
        <v>8.9906152895673275E-2</v>
      </c>
      <c r="K23" s="30">
        <v>3960</v>
      </c>
      <c r="L23" s="30">
        <v>3976780.41</v>
      </c>
      <c r="M23" s="35">
        <v>2733652.2997079999</v>
      </c>
      <c r="N23" s="35">
        <v>2818687.9546188</v>
      </c>
      <c r="O23" s="26">
        <f t="shared" si="0"/>
        <v>1.6928780629100797E-2</v>
      </c>
      <c r="P23" s="28" t="s">
        <v>7</v>
      </c>
      <c r="Q23" s="28" t="s">
        <v>7</v>
      </c>
      <c r="R23" s="32">
        <v>0.52</v>
      </c>
      <c r="S23" s="28" t="s">
        <v>15</v>
      </c>
      <c r="T23" s="61">
        <v>4.7</v>
      </c>
      <c r="U23" s="31">
        <v>15036</v>
      </c>
      <c r="V23" s="38" t="s">
        <v>68</v>
      </c>
      <c r="W23" s="68">
        <v>0.1</v>
      </c>
      <c r="X23" s="24" t="s">
        <v>109</v>
      </c>
      <c r="Y23" s="24" t="s">
        <v>14</v>
      </c>
    </row>
    <row r="24" spans="5:25" x14ac:dyDescent="0.3">
      <c r="E24" s="38" t="s">
        <v>127</v>
      </c>
      <c r="F24" s="38" t="s">
        <v>121</v>
      </c>
      <c r="G24" s="24" t="s">
        <v>38</v>
      </c>
      <c r="H24" s="23" t="s">
        <v>3</v>
      </c>
      <c r="I24" s="29">
        <v>8.6999999999999994E-2</v>
      </c>
      <c r="J24" s="29">
        <v>9.4940839095843055E-2</v>
      </c>
      <c r="K24" s="30">
        <v>12000</v>
      </c>
      <c r="L24" s="30">
        <v>12000000</v>
      </c>
      <c r="M24" s="35">
        <v>1982669.8325999998</v>
      </c>
      <c r="N24" s="35">
        <v>1901389.1003999999</v>
      </c>
      <c r="O24" s="26">
        <f t="shared" si="0"/>
        <v>1.2278146222036582E-2</v>
      </c>
      <c r="P24" s="28" t="s">
        <v>2</v>
      </c>
      <c r="Q24" s="28" t="s">
        <v>9</v>
      </c>
      <c r="R24" s="32">
        <v>0.67</v>
      </c>
      <c r="S24" s="28" t="s">
        <v>4</v>
      </c>
      <c r="T24" s="61">
        <v>3</v>
      </c>
      <c r="U24" s="31">
        <v>46235</v>
      </c>
      <c r="V24" s="38" t="s">
        <v>97</v>
      </c>
      <c r="W24" s="68" t="s">
        <v>52</v>
      </c>
      <c r="X24" s="24" t="s">
        <v>37</v>
      </c>
      <c r="Y24" s="24" t="s">
        <v>102</v>
      </c>
    </row>
    <row r="25" spans="5:25" x14ac:dyDescent="0.3">
      <c r="E25" s="38" t="s">
        <v>127</v>
      </c>
      <c r="F25" s="38" t="s">
        <v>10</v>
      </c>
      <c r="G25" s="24" t="s">
        <v>39</v>
      </c>
      <c r="H25" s="23" t="s">
        <v>3</v>
      </c>
      <c r="I25" s="29">
        <v>7.4999999999999997E-2</v>
      </c>
      <c r="J25" s="29">
        <v>7.5786388369514235E-2</v>
      </c>
      <c r="K25" s="30">
        <v>5000</v>
      </c>
      <c r="L25" s="30">
        <v>5000000</v>
      </c>
      <c r="M25" s="35">
        <v>1872386.57385</v>
      </c>
      <c r="N25" s="35">
        <v>1850346.77835</v>
      </c>
      <c r="O25" s="26">
        <f t="shared" si="0"/>
        <v>1.1595191372716305E-2</v>
      </c>
      <c r="P25" s="28" t="s">
        <v>2</v>
      </c>
      <c r="Q25" s="28" t="s">
        <v>11</v>
      </c>
      <c r="R25" s="28" t="s">
        <v>12</v>
      </c>
      <c r="S25" s="28" t="s">
        <v>4</v>
      </c>
      <c r="T25" s="61">
        <v>4.5</v>
      </c>
      <c r="U25" s="31">
        <v>47011</v>
      </c>
      <c r="V25" s="38" t="s">
        <v>97</v>
      </c>
      <c r="W25" s="68">
        <v>0.4</v>
      </c>
      <c r="X25" s="24" t="s">
        <v>37</v>
      </c>
      <c r="Y25" s="24" t="s">
        <v>103</v>
      </c>
    </row>
    <row r="26" spans="5:25" x14ac:dyDescent="0.3">
      <c r="E26" s="38" t="s">
        <v>144</v>
      </c>
      <c r="F26" s="38" t="s">
        <v>142</v>
      </c>
      <c r="G26" s="24" t="s">
        <v>143</v>
      </c>
      <c r="H26" s="23" t="s">
        <v>3</v>
      </c>
      <c r="I26" s="29">
        <v>9.11E-2</v>
      </c>
      <c r="J26" s="29">
        <v>9.11E-2</v>
      </c>
      <c r="K26" s="30">
        <v>9500</v>
      </c>
      <c r="L26" s="30">
        <v>9500000</v>
      </c>
      <c r="M26" s="30">
        <v>9500000</v>
      </c>
      <c r="N26" s="30">
        <v>9500000</v>
      </c>
      <c r="O26" s="26">
        <f t="shared" si="0"/>
        <v>5.8830969832423897E-2</v>
      </c>
      <c r="P26" s="33" t="s">
        <v>17</v>
      </c>
      <c r="Q26" s="28" t="s">
        <v>17</v>
      </c>
      <c r="R26" s="32">
        <v>0.61</v>
      </c>
      <c r="S26" s="28" t="s">
        <v>4</v>
      </c>
      <c r="T26" s="61">
        <v>7.63</v>
      </c>
      <c r="U26" s="31">
        <v>14305</v>
      </c>
      <c r="V26" s="40" t="s">
        <v>52</v>
      </c>
      <c r="W26" s="68">
        <v>1.9</v>
      </c>
      <c r="X26" s="24" t="s">
        <v>37</v>
      </c>
      <c r="Y26" s="24" t="s">
        <v>103</v>
      </c>
    </row>
    <row r="27" spans="5:25" x14ac:dyDescent="0.3">
      <c r="E27" s="38"/>
      <c r="F27" s="40"/>
      <c r="G27" s="24"/>
      <c r="H27" s="23"/>
      <c r="I27" s="29"/>
      <c r="J27" s="29"/>
      <c r="K27" s="29"/>
      <c r="L27" s="30"/>
      <c r="M27" s="30"/>
      <c r="N27" s="35"/>
      <c r="O27" s="26"/>
      <c r="P27" s="28"/>
      <c r="Q27" s="28"/>
      <c r="R27" s="32"/>
      <c r="S27" s="28"/>
      <c r="T27" s="61"/>
      <c r="U27" s="31"/>
      <c r="V27" s="38"/>
      <c r="W27" s="63"/>
      <c r="X27" s="24"/>
      <c r="Y27" s="24"/>
    </row>
    <row r="28" spans="5:25" x14ac:dyDescent="0.3">
      <c r="E28" s="38" t="s">
        <v>30</v>
      </c>
      <c r="F28" s="40" t="s">
        <v>114</v>
      </c>
      <c r="G28" s="40" t="s">
        <v>114</v>
      </c>
      <c r="H28" s="23" t="s">
        <v>30</v>
      </c>
      <c r="I28" s="24" t="s">
        <v>52</v>
      </c>
      <c r="J28" s="24" t="s">
        <v>52</v>
      </c>
      <c r="K28" s="24" t="s">
        <v>52</v>
      </c>
      <c r="L28" s="35">
        <v>6463852.1900000004</v>
      </c>
      <c r="M28" s="35">
        <v>1779576.6500000004</v>
      </c>
      <c r="N28" s="35">
        <v>1779576.6500000004</v>
      </c>
      <c r="O28" s="34">
        <f t="shared" ref="O28:O33" si="1">M28/SUM($M:$M)</f>
        <v>1.1020444232698528E-2</v>
      </c>
      <c r="P28" s="28" t="s">
        <v>30</v>
      </c>
      <c r="Q28" s="40" t="s">
        <v>52</v>
      </c>
      <c r="R28" s="28" t="s">
        <v>52</v>
      </c>
      <c r="S28" s="40" t="s">
        <v>52</v>
      </c>
      <c r="T28" s="62" t="s">
        <v>52</v>
      </c>
      <c r="U28" s="40" t="s">
        <v>52</v>
      </c>
      <c r="V28" s="40" t="s">
        <v>52</v>
      </c>
      <c r="W28" s="28" t="s">
        <v>52</v>
      </c>
      <c r="X28" s="40" t="s">
        <v>52</v>
      </c>
      <c r="Y28" s="40" t="s">
        <v>52</v>
      </c>
    </row>
    <row r="29" spans="5:25" x14ac:dyDescent="0.3">
      <c r="E29" s="38" t="s">
        <v>128</v>
      </c>
      <c r="F29" s="40" t="s">
        <v>31</v>
      </c>
      <c r="G29" s="24" t="s">
        <v>52</v>
      </c>
      <c r="H29" s="23" t="s">
        <v>99</v>
      </c>
      <c r="I29" s="24" t="s">
        <v>52</v>
      </c>
      <c r="J29" s="24" t="s">
        <v>52</v>
      </c>
      <c r="K29" s="30">
        <v>499803</v>
      </c>
      <c r="L29" s="35">
        <v>4951179.21</v>
      </c>
      <c r="M29" s="35">
        <v>4951179.21</v>
      </c>
      <c r="N29" s="35">
        <v>4933055.6100000003</v>
      </c>
      <c r="O29" s="26">
        <f t="shared" si="1"/>
        <v>3.0661334182993095E-2</v>
      </c>
      <c r="P29" s="28" t="s">
        <v>32</v>
      </c>
      <c r="Q29" s="28" t="s">
        <v>33</v>
      </c>
      <c r="R29" s="28" t="s">
        <v>52</v>
      </c>
      <c r="S29" s="40" t="s">
        <v>52</v>
      </c>
      <c r="T29" s="62" t="s">
        <v>52</v>
      </c>
      <c r="U29" s="40" t="s">
        <v>52</v>
      </c>
      <c r="V29" s="40" t="s">
        <v>52</v>
      </c>
      <c r="W29" s="28" t="s">
        <v>52</v>
      </c>
      <c r="X29" s="40" t="s">
        <v>52</v>
      </c>
      <c r="Y29" s="40" t="s">
        <v>52</v>
      </c>
    </row>
    <row r="30" spans="5:25" x14ac:dyDescent="0.3">
      <c r="E30" s="38" t="s">
        <v>128</v>
      </c>
      <c r="F30" s="40" t="s">
        <v>34</v>
      </c>
      <c r="G30" s="24" t="s">
        <v>52</v>
      </c>
      <c r="H30" s="23" t="s">
        <v>3</v>
      </c>
      <c r="I30" s="24" t="s">
        <v>52</v>
      </c>
      <c r="J30" s="24" t="s">
        <v>52</v>
      </c>
      <c r="K30" s="30">
        <v>10643</v>
      </c>
      <c r="L30" s="35">
        <v>1000746.7400000001</v>
      </c>
      <c r="M30" s="35">
        <v>1000746.7400000001</v>
      </c>
      <c r="N30" s="35">
        <v>971067.32</v>
      </c>
      <c r="O30" s="26">
        <f t="shared" si="1"/>
        <v>6.1973580285091126E-3</v>
      </c>
      <c r="P30" s="28" t="s">
        <v>32</v>
      </c>
      <c r="Q30" s="28" t="s">
        <v>33</v>
      </c>
      <c r="R30" s="28" t="s">
        <v>52</v>
      </c>
      <c r="S30" s="40" t="s">
        <v>52</v>
      </c>
      <c r="T30" s="62" t="s">
        <v>52</v>
      </c>
      <c r="U30" s="40" t="s">
        <v>52</v>
      </c>
      <c r="V30" s="40" t="s">
        <v>52</v>
      </c>
      <c r="W30" s="28" t="s">
        <v>52</v>
      </c>
      <c r="X30" s="40" t="s">
        <v>52</v>
      </c>
      <c r="Y30" s="40" t="s">
        <v>52</v>
      </c>
    </row>
    <row r="31" spans="5:25" x14ac:dyDescent="0.3">
      <c r="E31" s="38" t="s">
        <v>128</v>
      </c>
      <c r="F31" s="40" t="s">
        <v>35</v>
      </c>
      <c r="G31" s="24" t="s">
        <v>52</v>
      </c>
      <c r="H31" s="23" t="s">
        <v>3</v>
      </c>
      <c r="I31" s="24" t="s">
        <v>52</v>
      </c>
      <c r="J31" s="24" t="s">
        <v>52</v>
      </c>
      <c r="K31" s="30">
        <v>109180</v>
      </c>
      <c r="L31" s="35">
        <v>1000948.24</v>
      </c>
      <c r="M31" s="35">
        <v>1000948.24</v>
      </c>
      <c r="N31" s="35">
        <v>934580.8</v>
      </c>
      <c r="O31" s="26">
        <f t="shared" si="1"/>
        <v>6.1986058643429256E-3</v>
      </c>
      <c r="P31" s="28" t="s">
        <v>32</v>
      </c>
      <c r="Q31" s="28" t="s">
        <v>33</v>
      </c>
      <c r="R31" s="28" t="s">
        <v>52</v>
      </c>
      <c r="S31" s="40" t="s">
        <v>52</v>
      </c>
      <c r="T31" s="62" t="s">
        <v>52</v>
      </c>
      <c r="U31" s="40" t="s">
        <v>52</v>
      </c>
      <c r="V31" s="40" t="s">
        <v>52</v>
      </c>
      <c r="W31" s="28" t="s">
        <v>52</v>
      </c>
      <c r="X31" s="40" t="s">
        <v>52</v>
      </c>
      <c r="Y31" s="40" t="s">
        <v>52</v>
      </c>
    </row>
    <row r="32" spans="5:25" x14ac:dyDescent="0.3">
      <c r="E32" s="38" t="s">
        <v>129</v>
      </c>
      <c r="F32" s="40" t="s">
        <v>23</v>
      </c>
      <c r="G32" s="24">
        <v>0</v>
      </c>
      <c r="H32" s="23" t="s">
        <v>22</v>
      </c>
      <c r="I32" s="29">
        <v>0.23799999999999999</v>
      </c>
      <c r="J32" s="24">
        <v>0</v>
      </c>
      <c r="K32" s="30" t="s">
        <v>52</v>
      </c>
      <c r="L32" s="35">
        <v>2934599</v>
      </c>
      <c r="M32" s="35">
        <v>2934599</v>
      </c>
      <c r="N32" s="35">
        <v>2934599</v>
      </c>
      <c r="O32" s="26">
        <f t="shared" si="1"/>
        <v>1.8173190025185405E-2</v>
      </c>
      <c r="P32" s="28" t="s">
        <v>2</v>
      </c>
      <c r="Q32" s="28" t="s">
        <v>24</v>
      </c>
      <c r="R32" s="28" t="s">
        <v>126</v>
      </c>
      <c r="S32" s="28" t="s">
        <v>5</v>
      </c>
      <c r="T32" s="62" t="s">
        <v>126</v>
      </c>
      <c r="U32" s="40" t="s">
        <v>126</v>
      </c>
      <c r="V32" s="40" t="s">
        <v>52</v>
      </c>
      <c r="W32" s="29" t="s">
        <v>52</v>
      </c>
      <c r="X32" s="40" t="s">
        <v>52</v>
      </c>
      <c r="Y32" s="24" t="s">
        <v>52</v>
      </c>
    </row>
    <row r="33" spans="5:25" x14ac:dyDescent="0.3">
      <c r="E33" s="38" t="s">
        <v>132</v>
      </c>
      <c r="F33" s="40" t="s">
        <v>133</v>
      </c>
      <c r="G33" s="24" t="s">
        <v>52</v>
      </c>
      <c r="H33" s="23" t="s">
        <v>99</v>
      </c>
      <c r="I33" s="29">
        <v>-8.9999999999999993E-3</v>
      </c>
      <c r="J33" s="24">
        <v>-8.9999999999999993E-3</v>
      </c>
      <c r="K33" s="24" t="s">
        <v>52</v>
      </c>
      <c r="L33" s="35">
        <v>-12815181.32</v>
      </c>
      <c r="M33" s="35">
        <f>-8145505.15-4815724.46</f>
        <v>-12961229.609999999</v>
      </c>
      <c r="N33" s="35">
        <f>-8145505.15-4815724.46</f>
        <v>-12961229.609999999</v>
      </c>
      <c r="O33" s="26">
        <f t="shared" si="1"/>
        <v>-8.0265442966003089E-2</v>
      </c>
      <c r="P33" s="28" t="s">
        <v>52</v>
      </c>
      <c r="Q33" s="28" t="s">
        <v>52</v>
      </c>
      <c r="R33" s="28" t="s">
        <v>52</v>
      </c>
      <c r="S33" s="28" t="s">
        <v>52</v>
      </c>
      <c r="T33" s="28" t="s">
        <v>52</v>
      </c>
      <c r="U33" s="28" t="s">
        <v>52</v>
      </c>
      <c r="V33" s="28" t="s">
        <v>52</v>
      </c>
      <c r="W33" s="28" t="s">
        <v>52</v>
      </c>
      <c r="X33" s="28" t="s">
        <v>52</v>
      </c>
      <c r="Y33" s="28" t="s">
        <v>52</v>
      </c>
    </row>
    <row r="34" spans="5:25" x14ac:dyDescent="0.3">
      <c r="H34"/>
    </row>
    <row r="35" spans="5:25" x14ac:dyDescent="0.3">
      <c r="H35"/>
    </row>
    <row r="36" spans="5:25" x14ac:dyDescent="0.3">
      <c r="H36"/>
    </row>
    <row r="37" spans="5:25" x14ac:dyDescent="0.3">
      <c r="E37" s="4" t="s">
        <v>145</v>
      </c>
      <c r="H37"/>
    </row>
    <row r="38" spans="5:25" x14ac:dyDescent="0.3">
      <c r="H38"/>
    </row>
    <row r="39" spans="5:25" x14ac:dyDescent="0.3">
      <c r="H39"/>
    </row>
    <row r="40" spans="5:25" x14ac:dyDescent="0.3">
      <c r="H40"/>
    </row>
    <row r="41" spans="5:25" x14ac:dyDescent="0.3">
      <c r="H41"/>
    </row>
    <row r="42" spans="5:25" x14ac:dyDescent="0.3">
      <c r="H42"/>
    </row>
    <row r="43" spans="5:25" x14ac:dyDescent="0.3">
      <c r="H43"/>
    </row>
    <row r="44" spans="5:25" x14ac:dyDescent="0.3">
      <c r="H44"/>
    </row>
    <row r="45" spans="5:25" x14ac:dyDescent="0.3">
      <c r="H45"/>
    </row>
    <row r="46" spans="5:25" x14ac:dyDescent="0.3">
      <c r="H46"/>
    </row>
    <row r="47" spans="5:25" x14ac:dyDescent="0.3">
      <c r="H47"/>
    </row>
    <row r="48" spans="5:25" x14ac:dyDescent="0.3">
      <c r="H48"/>
    </row>
    <row r="49" spans="8:8" x14ac:dyDescent="0.3">
      <c r="H49"/>
    </row>
    <row r="50" spans="8:8" x14ac:dyDescent="0.3">
      <c r="H50"/>
    </row>
    <row r="51" spans="8:8" x14ac:dyDescent="0.3">
      <c r="H51"/>
    </row>
    <row r="52" spans="8:8" x14ac:dyDescent="0.3">
      <c r="H52"/>
    </row>
    <row r="53" spans="8:8" x14ac:dyDescent="0.3">
      <c r="H53"/>
    </row>
    <row r="54" spans="8:8" x14ac:dyDescent="0.3">
      <c r="H54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AS33"/>
  <sheetViews>
    <sheetView showGridLines="0" zoomScaleNormal="100" workbookViewId="0">
      <selection activeCell="A22" sqref="A22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38" width="8.28515625" style="4" customWidth="1"/>
    <col min="39" max="39" width="12.5703125" style="4" customWidth="1"/>
    <col min="40" max="40" width="2" style="4" customWidth="1"/>
    <col min="41" max="43" width="11.28515625" style="4" customWidth="1"/>
    <col min="44" max="44" width="9.140625" style="4"/>
    <col min="45" max="45" width="13.42578125" style="4" bestFit="1" customWidth="1"/>
    <col min="46" max="16384" width="9.140625" style="4"/>
  </cols>
  <sheetData>
    <row r="8" spans="6:43" s="8" customFormat="1" x14ac:dyDescent="0.3">
      <c r="F8" s="41" t="s">
        <v>70</v>
      </c>
      <c r="G8" s="42">
        <v>44407</v>
      </c>
      <c r="H8" s="42">
        <v>44438</v>
      </c>
      <c r="I8" s="42">
        <v>44469</v>
      </c>
      <c r="J8" s="42">
        <v>44499</v>
      </c>
      <c r="K8" s="42">
        <v>44530</v>
      </c>
      <c r="L8" s="42">
        <v>44560</v>
      </c>
      <c r="M8" s="42">
        <v>44591</v>
      </c>
      <c r="N8" s="42">
        <v>44620</v>
      </c>
      <c r="O8" s="42">
        <v>44651</v>
      </c>
      <c r="P8" s="42">
        <v>44681</v>
      </c>
      <c r="Q8" s="42">
        <v>44712</v>
      </c>
      <c r="R8" s="42">
        <v>44742</v>
      </c>
      <c r="S8" s="42">
        <v>44773</v>
      </c>
      <c r="T8" s="42">
        <v>44804</v>
      </c>
      <c r="U8" s="42">
        <v>44834</v>
      </c>
      <c r="V8" s="42">
        <v>44865</v>
      </c>
      <c r="W8" s="42">
        <v>44895</v>
      </c>
      <c r="X8" s="42">
        <v>44926</v>
      </c>
      <c r="Y8" s="42">
        <v>44957</v>
      </c>
      <c r="Z8" s="42">
        <v>44985</v>
      </c>
      <c r="AA8" s="42">
        <v>45016</v>
      </c>
      <c r="AB8" s="42">
        <v>45046</v>
      </c>
      <c r="AC8" s="42">
        <v>45077</v>
      </c>
      <c r="AD8" s="42">
        <v>45107</v>
      </c>
      <c r="AE8" s="42">
        <v>45138</v>
      </c>
      <c r="AF8" s="42">
        <v>45169</v>
      </c>
      <c r="AG8" s="42">
        <v>45199</v>
      </c>
      <c r="AH8" s="42">
        <f t="shared" ref="AH8:AM8" si="0">EOMONTH(AG8,1)</f>
        <v>45230</v>
      </c>
      <c r="AI8" s="42">
        <f t="shared" si="0"/>
        <v>45260</v>
      </c>
      <c r="AJ8" s="42">
        <f t="shared" si="0"/>
        <v>45291</v>
      </c>
      <c r="AK8" s="42">
        <f t="shared" si="0"/>
        <v>45322</v>
      </c>
      <c r="AL8" s="42">
        <f t="shared" si="0"/>
        <v>45351</v>
      </c>
      <c r="AM8" s="42">
        <f t="shared" si="0"/>
        <v>45382</v>
      </c>
      <c r="AN8" s="4"/>
      <c r="AO8" s="42" t="s">
        <v>83</v>
      </c>
      <c r="AP8" s="42" t="s">
        <v>71</v>
      </c>
      <c r="AQ8" s="42" t="s">
        <v>72</v>
      </c>
    </row>
    <row r="9" spans="6:43" x14ac:dyDescent="0.3">
      <c r="F9" s="43" t="s">
        <v>73</v>
      </c>
      <c r="G9" s="44">
        <v>-27448.36</v>
      </c>
      <c r="H9" s="44">
        <v>122648.03</v>
      </c>
      <c r="I9" s="44">
        <v>81152.160000000003</v>
      </c>
      <c r="J9" s="44">
        <v>3429.5099999999998</v>
      </c>
      <c r="K9" s="44">
        <v>-1103.6599999999999</v>
      </c>
      <c r="L9" s="44">
        <v>42072</v>
      </c>
      <c r="M9" s="44">
        <v>82990.960000000006</v>
      </c>
      <c r="N9" s="44">
        <v>32513.74</v>
      </c>
      <c r="O9" s="44">
        <v>7341.68</v>
      </c>
      <c r="P9" s="44">
        <v>26679.439999999999</v>
      </c>
      <c r="Q9" s="44">
        <v>38898.9</v>
      </c>
      <c r="R9" s="44">
        <v>41996.03</v>
      </c>
      <c r="S9" s="44">
        <v>122464.34</v>
      </c>
      <c r="T9" s="44">
        <v>460469.65</v>
      </c>
      <c r="U9" s="44">
        <v>1234269.1100000001</v>
      </c>
      <c r="V9" s="44">
        <v>177148.95</v>
      </c>
      <c r="W9" s="44">
        <v>152056.12001188321</v>
      </c>
      <c r="X9" s="44">
        <v>103018.9797325049</v>
      </c>
      <c r="Y9" s="44">
        <v>228968.70984252301</v>
      </c>
      <c r="Z9" s="44">
        <v>24460.095853099137</v>
      </c>
      <c r="AA9" s="44">
        <v>38040.44727982425</v>
      </c>
      <c r="AB9" s="44">
        <v>21287.65067124987</v>
      </c>
      <c r="AC9" s="44">
        <v>30209.008513599736</v>
      </c>
      <c r="AD9" s="44">
        <v>43472.464008924551</v>
      </c>
      <c r="AE9" s="44">
        <v>40656.077395598702</v>
      </c>
      <c r="AF9" s="44">
        <v>76677.740241925465</v>
      </c>
      <c r="AG9" s="44">
        <v>94652.611447700532</v>
      </c>
      <c r="AH9" s="44">
        <v>52540.407587150374</v>
      </c>
      <c r="AI9" s="44">
        <v>35372.7380832005</v>
      </c>
      <c r="AJ9" s="44">
        <v>131863.33530870019</v>
      </c>
      <c r="AK9" s="44">
        <v>19267.810077824899</v>
      </c>
      <c r="AL9" s="44">
        <v>7636.0126760499961</v>
      </c>
      <c r="AM9" s="44">
        <v>9455.2735021500157</v>
      </c>
      <c r="AO9" s="44">
        <f>SUM(G9:AM9)</f>
        <v>3555157.9622339103</v>
      </c>
      <c r="AP9" s="44">
        <f>SUM(K9:AM9)</f>
        <v>3375376.6222339105</v>
      </c>
      <c r="AQ9" s="44">
        <f>SUM(AH9:AM9)</f>
        <v>256135.57723507597</v>
      </c>
    </row>
    <row r="10" spans="6:43" x14ac:dyDescent="0.3">
      <c r="F10" s="43" t="s">
        <v>74</v>
      </c>
      <c r="G10" s="44">
        <v>341987.87156890839</v>
      </c>
      <c r="H10" s="44">
        <v>323568.74190635874</v>
      </c>
      <c r="I10" s="44">
        <v>558217.27301237942</v>
      </c>
      <c r="J10" s="44">
        <v>673669.26624998194</v>
      </c>
      <c r="K10" s="44">
        <v>742909.3210080876</v>
      </c>
      <c r="L10" s="44">
        <v>684273.80422902422</v>
      </c>
      <c r="M10" s="44">
        <v>606060</v>
      </c>
      <c r="N10" s="44">
        <v>644906.11020397954</v>
      </c>
      <c r="O10" s="44">
        <v>623205.93560222001</v>
      </c>
      <c r="P10" s="44">
        <v>848355.65311210521</v>
      </c>
      <c r="Q10" s="44">
        <v>896175.89717894315</v>
      </c>
      <c r="R10" s="44">
        <v>731636.7297298871</v>
      </c>
      <c r="S10" s="44">
        <v>816466.13681205444</v>
      </c>
      <c r="T10" s="44">
        <v>815904</v>
      </c>
      <c r="U10" s="44">
        <v>979208.84708313365</v>
      </c>
      <c r="V10" s="44">
        <v>1036064.752082411</v>
      </c>
      <c r="W10" s="44">
        <v>969980</v>
      </c>
      <c r="X10" s="44">
        <v>1265183.2835499896</v>
      </c>
      <c r="Y10" s="44">
        <v>1284435.619144799</v>
      </c>
      <c r="Z10" s="44">
        <v>1599277.4987259335</v>
      </c>
      <c r="AA10" s="44">
        <v>1385778.712937481</v>
      </c>
      <c r="AB10" s="44">
        <v>1667018.9596353415</v>
      </c>
      <c r="AC10" s="44">
        <v>1495737.6759365972</v>
      </c>
      <c r="AD10" s="44">
        <v>1494077.1095179454</v>
      </c>
      <c r="AE10" s="44">
        <v>1387633.0266923986</v>
      </c>
      <c r="AF10" s="44">
        <v>1138267.2186427573</v>
      </c>
      <c r="AG10" s="44">
        <v>1314576.5691003962</v>
      </c>
      <c r="AH10" s="44">
        <v>1342587.8558623386</v>
      </c>
      <c r="AI10" s="44">
        <v>1463908.2785693335</v>
      </c>
      <c r="AJ10" s="44">
        <v>1454413.8180190392</v>
      </c>
      <c r="AK10" s="44">
        <v>1502226.3101233724</v>
      </c>
      <c r="AL10" s="44">
        <v>1852537.4976419488</v>
      </c>
      <c r="AM10" s="44">
        <v>1850427.8225443549</v>
      </c>
      <c r="AO10" s="44">
        <f>SUM(G10:AM10)</f>
        <v>35790677.596423507</v>
      </c>
      <c r="AP10" s="44">
        <f>SUM(K10:AM10)</f>
        <v>33893234.443685874</v>
      </c>
      <c r="AQ10" s="44">
        <f>SUM(AH10:AM10)</f>
        <v>9466101.582760388</v>
      </c>
    </row>
    <row r="11" spans="6:43" x14ac:dyDescent="0.3">
      <c r="F11" s="43" t="s">
        <v>75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319609.05403000076</v>
      </c>
      <c r="M11" s="45">
        <v>0</v>
      </c>
      <c r="N11" s="45">
        <v>193241.79762358</v>
      </c>
      <c r="O11" s="45">
        <v>59871.395308760133</v>
      </c>
      <c r="P11" s="45">
        <v>0</v>
      </c>
      <c r="Q11" s="45">
        <v>451627.27911116654</v>
      </c>
      <c r="R11" s="45">
        <v>7177.1160222999697</v>
      </c>
      <c r="S11" s="45">
        <v>0</v>
      </c>
      <c r="T11" s="45">
        <v>19676</v>
      </c>
      <c r="U11" s="45">
        <v>188328.66252669672</v>
      </c>
      <c r="V11" s="45">
        <v>275683.36410403904</v>
      </c>
      <c r="W11" s="45">
        <v>163049</v>
      </c>
      <c r="X11" s="45">
        <v>1930502.0800398693</v>
      </c>
      <c r="Y11" s="45">
        <v>181487.22558875169</v>
      </c>
      <c r="Z11" s="45">
        <v>130711.98</v>
      </c>
      <c r="AA11" s="45">
        <v>175970.07879605886</v>
      </c>
      <c r="AB11" s="45">
        <v>584902.75118289946</v>
      </c>
      <c r="AC11" s="45">
        <v>174935.87664139824</v>
      </c>
      <c r="AD11" s="45">
        <v>202557.33694419931</v>
      </c>
      <c r="AE11" s="45">
        <v>181148.36221980574</v>
      </c>
      <c r="AF11" s="45">
        <v>488064.71872399776</v>
      </c>
      <c r="AG11" s="45">
        <v>70157.251278001815</v>
      </c>
      <c r="AH11" s="45">
        <v>253550.7062209202</v>
      </c>
      <c r="AI11" s="45">
        <v>206224.72941807742</v>
      </c>
      <c r="AJ11" s="45">
        <v>799319.96</v>
      </c>
      <c r="AK11" s="45">
        <v>23529.465120000001</v>
      </c>
      <c r="AL11" s="45">
        <v>0</v>
      </c>
      <c r="AM11" s="45">
        <v>0</v>
      </c>
      <c r="AO11" s="45">
        <f>SUM(G11:AM11)</f>
        <v>7081326.1909005223</v>
      </c>
      <c r="AP11" s="45">
        <f>SUM(K11:AM11)</f>
        <v>7081326.1909005223</v>
      </c>
      <c r="AQ11" s="45">
        <f>SUM(AH11:AM11)</f>
        <v>1282624.8607589977</v>
      </c>
    </row>
    <row r="12" spans="6:43" x14ac:dyDescent="0.3">
      <c r="F12" s="43" t="s">
        <v>76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33355.53</v>
      </c>
      <c r="T12" s="45">
        <v>129098</v>
      </c>
      <c r="U12" s="45">
        <v>138787.83000000002</v>
      </c>
      <c r="V12" s="45">
        <v>132891</v>
      </c>
      <c r="W12" s="45">
        <v>124496</v>
      </c>
      <c r="X12" s="45">
        <v>121494.86036247401</v>
      </c>
      <c r="Y12" s="45">
        <v>129781.88</v>
      </c>
      <c r="Z12" s="45">
        <v>144188.32</v>
      </c>
      <c r="AA12" s="45">
        <v>131772.78999999998</v>
      </c>
      <c r="AB12" s="45">
        <v>139442.38</v>
      </c>
      <c r="AC12" s="45">
        <v>130935.1</v>
      </c>
      <c r="AD12" s="45">
        <v>141553.28</v>
      </c>
      <c r="AE12" s="45">
        <v>143087.40999999997</v>
      </c>
      <c r="AF12" s="45">
        <v>138632.68</v>
      </c>
      <c r="AG12" s="45">
        <v>130892.71</v>
      </c>
      <c r="AH12" s="45">
        <v>119721.13</v>
      </c>
      <c r="AI12" s="45">
        <v>120883.01</v>
      </c>
      <c r="AJ12" s="45">
        <v>70152.710000000006</v>
      </c>
      <c r="AK12" s="45">
        <v>70163.710000000006</v>
      </c>
      <c r="AL12" s="45">
        <v>72199.63</v>
      </c>
      <c r="AM12" s="45">
        <v>72854.710000000006</v>
      </c>
      <c r="AO12" s="45">
        <f>SUM(G12:AM12)</f>
        <v>2436384.6703624735</v>
      </c>
      <c r="AP12" s="45">
        <f>SUM(K12:AM12)</f>
        <v>2436384.6703624735</v>
      </c>
      <c r="AQ12" s="45">
        <f>SUM(AH12:AM12)</f>
        <v>525974.9</v>
      </c>
    </row>
    <row r="13" spans="6:43" x14ac:dyDescent="0.3">
      <c r="F13" s="49" t="s">
        <v>77</v>
      </c>
      <c r="G13" s="50">
        <f t="shared" ref="G13:AM13" si="1">SUM(G9:G12)</f>
        <v>314539.51156890841</v>
      </c>
      <c r="H13" s="50">
        <f t="shared" si="1"/>
        <v>446216.77190635877</v>
      </c>
      <c r="I13" s="50">
        <f t="shared" si="1"/>
        <v>639369.43301237945</v>
      </c>
      <c r="J13" s="50">
        <f t="shared" si="1"/>
        <v>677098.77624998195</v>
      </c>
      <c r="K13" s="50">
        <f t="shared" si="1"/>
        <v>741805.66100808757</v>
      </c>
      <c r="L13" s="50">
        <f t="shared" si="1"/>
        <v>1045954.858259025</v>
      </c>
      <c r="M13" s="50">
        <f t="shared" si="1"/>
        <v>689050.96</v>
      </c>
      <c r="N13" s="50">
        <f t="shared" si="1"/>
        <v>870661.6478275595</v>
      </c>
      <c r="O13" s="50">
        <f t="shared" si="1"/>
        <v>690419.01091098017</v>
      </c>
      <c r="P13" s="50">
        <f t="shared" si="1"/>
        <v>875035.09311210515</v>
      </c>
      <c r="Q13" s="50">
        <f t="shared" si="1"/>
        <v>1386702.0762901097</v>
      </c>
      <c r="R13" s="50">
        <f t="shared" si="1"/>
        <v>780809.8757521871</v>
      </c>
      <c r="S13" s="50">
        <f t="shared" si="1"/>
        <v>972286.00681205443</v>
      </c>
      <c r="T13" s="50">
        <f t="shared" si="1"/>
        <v>1425147.65</v>
      </c>
      <c r="U13" s="50">
        <f t="shared" si="1"/>
        <v>2540594.449609831</v>
      </c>
      <c r="V13" s="50">
        <f t="shared" si="1"/>
        <v>1621788.06618645</v>
      </c>
      <c r="W13" s="50">
        <f t="shared" si="1"/>
        <v>1409581.1200118833</v>
      </c>
      <c r="X13" s="50">
        <f t="shared" si="1"/>
        <v>3420199.2036848376</v>
      </c>
      <c r="Y13" s="50">
        <f t="shared" si="1"/>
        <v>1824673.4345760737</v>
      </c>
      <c r="Z13" s="50">
        <f t="shared" si="1"/>
        <v>1898637.8945790327</v>
      </c>
      <c r="AA13" s="50">
        <f t="shared" si="1"/>
        <v>1731562.0290133641</v>
      </c>
      <c r="AB13" s="50">
        <f t="shared" si="1"/>
        <v>2412651.741489491</v>
      </c>
      <c r="AC13" s="50">
        <f t="shared" si="1"/>
        <v>1831817.6610915952</v>
      </c>
      <c r="AD13" s="50">
        <f t="shared" si="1"/>
        <v>1881660.1904710694</v>
      </c>
      <c r="AE13" s="50">
        <f t="shared" si="1"/>
        <v>1752524.876307803</v>
      </c>
      <c r="AF13" s="50">
        <f t="shared" si="1"/>
        <v>1841642.3576086804</v>
      </c>
      <c r="AG13" s="50">
        <f t="shared" si="1"/>
        <v>1610279.1418260986</v>
      </c>
      <c r="AH13" s="50">
        <f t="shared" si="1"/>
        <v>1768400.0996704092</v>
      </c>
      <c r="AI13" s="50">
        <f t="shared" si="1"/>
        <v>1826388.7560706115</v>
      </c>
      <c r="AJ13" s="50">
        <f t="shared" si="1"/>
        <v>2455749.8233277393</v>
      </c>
      <c r="AK13" s="50">
        <f t="shared" si="1"/>
        <v>1615187.2953211972</v>
      </c>
      <c r="AL13" s="50">
        <f t="shared" si="1"/>
        <v>1932373.1403179988</v>
      </c>
      <c r="AM13" s="50">
        <f t="shared" si="1"/>
        <v>1932737.806046505</v>
      </c>
      <c r="AO13" s="50">
        <f>SUM(G13:AM13)</f>
        <v>48863546.41992043</v>
      </c>
      <c r="AP13" s="50">
        <f>SUM(K13:AM13)</f>
        <v>46786321.927182801</v>
      </c>
      <c r="AQ13" s="50">
        <f>SUM(AH13:AM13)</f>
        <v>11530836.920754461</v>
      </c>
    </row>
    <row r="14" spans="6:43" ht="9.75" customHeight="1" x14ac:dyDescent="0.3"/>
    <row r="15" spans="6:43" x14ac:dyDescent="0.3">
      <c r="F15" s="43" t="s">
        <v>78</v>
      </c>
      <c r="G15" s="46">
        <v>-19939.55</v>
      </c>
      <c r="H15" s="46">
        <v>-38518.649999999994</v>
      </c>
      <c r="I15" s="46">
        <v>-47037.840000000004</v>
      </c>
      <c r="J15" s="46">
        <v>-49983.44</v>
      </c>
      <c r="K15" s="46">
        <v>-43738.6</v>
      </c>
      <c r="L15" s="46">
        <v>-43973.85</v>
      </c>
      <c r="M15" s="46">
        <v>-83558.62</v>
      </c>
      <c r="N15" s="46">
        <v>-57644.079999999994</v>
      </c>
      <c r="O15" s="46">
        <v>-52316.76</v>
      </c>
      <c r="P15" s="46">
        <v>-60801.049999999996</v>
      </c>
      <c r="Q15" s="46">
        <v>-65904.179999999993</v>
      </c>
      <c r="R15" s="46">
        <v>-63139.439999999995</v>
      </c>
      <c r="S15" s="46">
        <v>-132396.51</v>
      </c>
      <c r="T15" s="46">
        <v>-131766.44999999998</v>
      </c>
      <c r="U15" s="46">
        <v>-141094.94</v>
      </c>
      <c r="V15" s="46">
        <v>-162767.44</v>
      </c>
      <c r="W15" s="46">
        <v>-114360</v>
      </c>
      <c r="X15" s="46">
        <v>-113686.93000000001</v>
      </c>
      <c r="Y15" s="46">
        <v>-270250.02999999997</v>
      </c>
      <c r="Z15" s="46">
        <v>-269697.91000000003</v>
      </c>
      <c r="AA15" s="46">
        <v>-243210.33999999997</v>
      </c>
      <c r="AB15" s="46">
        <v>-267426.71999999997</v>
      </c>
      <c r="AC15" s="46">
        <v>-261421.96</v>
      </c>
      <c r="AD15" s="46">
        <v>-281949.86</v>
      </c>
      <c r="AE15" s="46">
        <v>-128025.54</v>
      </c>
      <c r="AF15" s="46">
        <v>-126457.26</v>
      </c>
      <c r="AG15" s="46">
        <v>-152682.67000000001</v>
      </c>
      <c r="AH15" s="46">
        <v>-175612.38999999998</v>
      </c>
      <c r="AI15" s="46">
        <v>-144862.97</v>
      </c>
      <c r="AJ15" s="46">
        <v>-140443.93</v>
      </c>
      <c r="AK15" s="46">
        <v>-124203.13</v>
      </c>
      <c r="AL15" s="46">
        <v>-140920.04</v>
      </c>
      <c r="AM15" s="46">
        <v>-125448.02</v>
      </c>
      <c r="AO15" s="46">
        <f>SUM(G15:AM15)</f>
        <v>-4275241.0999999996</v>
      </c>
      <c r="AP15" s="46">
        <f>SUM(K15:AM15)</f>
        <v>-4119761.6199999996</v>
      </c>
      <c r="AQ15" s="46">
        <f>SUM(AH15:AM15)</f>
        <v>-851490.48</v>
      </c>
    </row>
    <row r="16" spans="6:43" x14ac:dyDescent="0.3">
      <c r="F16" s="51" t="s">
        <v>79</v>
      </c>
      <c r="G16" s="52">
        <f t="shared" ref="G16:AM16" si="2">G15</f>
        <v>-19939.55</v>
      </c>
      <c r="H16" s="52">
        <f t="shared" si="2"/>
        <v>-38518.649999999994</v>
      </c>
      <c r="I16" s="52">
        <f t="shared" si="2"/>
        <v>-47037.840000000004</v>
      </c>
      <c r="J16" s="52">
        <f t="shared" si="2"/>
        <v>-49983.44</v>
      </c>
      <c r="K16" s="52">
        <f t="shared" si="2"/>
        <v>-43738.6</v>
      </c>
      <c r="L16" s="52">
        <f t="shared" si="2"/>
        <v>-43973.85</v>
      </c>
      <c r="M16" s="52">
        <f t="shared" si="2"/>
        <v>-83558.62</v>
      </c>
      <c r="N16" s="52">
        <f t="shared" si="2"/>
        <v>-57644.079999999994</v>
      </c>
      <c r="O16" s="52">
        <f t="shared" si="2"/>
        <v>-52316.76</v>
      </c>
      <c r="P16" s="52">
        <f t="shared" si="2"/>
        <v>-60801.049999999996</v>
      </c>
      <c r="Q16" s="52">
        <f t="shared" si="2"/>
        <v>-65904.179999999993</v>
      </c>
      <c r="R16" s="52">
        <f t="shared" si="2"/>
        <v>-63139.439999999995</v>
      </c>
      <c r="S16" s="52">
        <f t="shared" si="2"/>
        <v>-132396.51</v>
      </c>
      <c r="T16" s="52">
        <f t="shared" si="2"/>
        <v>-131766.44999999998</v>
      </c>
      <c r="U16" s="52">
        <f t="shared" si="2"/>
        <v>-141094.94</v>
      </c>
      <c r="V16" s="52">
        <f t="shared" si="2"/>
        <v>-162767.44</v>
      </c>
      <c r="W16" s="52">
        <f t="shared" si="2"/>
        <v>-114360</v>
      </c>
      <c r="X16" s="52">
        <f t="shared" si="2"/>
        <v>-113686.93000000001</v>
      </c>
      <c r="Y16" s="52">
        <f t="shared" si="2"/>
        <v>-270250.02999999997</v>
      </c>
      <c r="Z16" s="52">
        <f t="shared" si="2"/>
        <v>-269697.91000000003</v>
      </c>
      <c r="AA16" s="52">
        <f t="shared" si="2"/>
        <v>-243210.33999999997</v>
      </c>
      <c r="AB16" s="52">
        <f t="shared" si="2"/>
        <v>-267426.71999999997</v>
      </c>
      <c r="AC16" s="52">
        <f t="shared" si="2"/>
        <v>-261421.96</v>
      </c>
      <c r="AD16" s="52">
        <f t="shared" si="2"/>
        <v>-281949.86</v>
      </c>
      <c r="AE16" s="52">
        <f t="shared" si="2"/>
        <v>-128025.54</v>
      </c>
      <c r="AF16" s="52">
        <f t="shared" si="2"/>
        <v>-126457.26</v>
      </c>
      <c r="AG16" s="52">
        <f t="shared" si="2"/>
        <v>-152682.67000000001</v>
      </c>
      <c r="AH16" s="52">
        <f t="shared" si="2"/>
        <v>-175612.38999999998</v>
      </c>
      <c r="AI16" s="52">
        <f t="shared" si="2"/>
        <v>-144862.97</v>
      </c>
      <c r="AJ16" s="52">
        <f t="shared" si="2"/>
        <v>-140443.93</v>
      </c>
      <c r="AK16" s="52">
        <f t="shared" si="2"/>
        <v>-124203.13</v>
      </c>
      <c r="AL16" s="52">
        <f t="shared" si="2"/>
        <v>-140920.04</v>
      </c>
      <c r="AM16" s="52">
        <f t="shared" si="2"/>
        <v>-125448.02</v>
      </c>
      <c r="AO16" s="52">
        <f>SUM(G16:AM16)</f>
        <v>-4275241.0999999996</v>
      </c>
      <c r="AP16" s="52">
        <f>SUM(K16:AM16)</f>
        <v>-4119761.6199999996</v>
      </c>
      <c r="AQ16" s="52">
        <f>SUM(AH16:AM16)</f>
        <v>-851490.48</v>
      </c>
    </row>
    <row r="17" spans="6:45" x14ac:dyDescent="0.3">
      <c r="F17" s="51" t="s">
        <v>80</v>
      </c>
      <c r="G17" s="52">
        <f t="shared" ref="G17:AM17" si="3">SUM(G16,G13)</f>
        <v>294599.96156890842</v>
      </c>
      <c r="H17" s="52">
        <f t="shared" si="3"/>
        <v>407698.12190635875</v>
      </c>
      <c r="I17" s="52">
        <f t="shared" si="3"/>
        <v>592331.59301237948</v>
      </c>
      <c r="J17" s="52">
        <f t="shared" si="3"/>
        <v>627115.33624998201</v>
      </c>
      <c r="K17" s="52">
        <f t="shared" si="3"/>
        <v>698067.06100808759</v>
      </c>
      <c r="L17" s="52">
        <f t="shared" si="3"/>
        <v>1001981.0082590251</v>
      </c>
      <c r="M17" s="52">
        <f t="shared" si="3"/>
        <v>605492.34</v>
      </c>
      <c r="N17" s="52">
        <f t="shared" si="3"/>
        <v>813017.56782755954</v>
      </c>
      <c r="O17" s="52">
        <f t="shared" si="3"/>
        <v>638102.25091098016</v>
      </c>
      <c r="P17" s="52">
        <f t="shared" si="3"/>
        <v>814234.04311210511</v>
      </c>
      <c r="Q17" s="52">
        <f t="shared" si="3"/>
        <v>1320797.8962901097</v>
      </c>
      <c r="R17" s="52">
        <f t="shared" si="3"/>
        <v>717670.43575218716</v>
      </c>
      <c r="S17" s="52">
        <f t="shared" si="3"/>
        <v>839889.49681205442</v>
      </c>
      <c r="T17" s="52">
        <f t="shared" si="3"/>
        <v>1293381.2</v>
      </c>
      <c r="U17" s="52">
        <f t="shared" si="3"/>
        <v>2399499.509609831</v>
      </c>
      <c r="V17" s="52">
        <f t="shared" si="3"/>
        <v>1459020.62618645</v>
      </c>
      <c r="W17" s="52">
        <f t="shared" si="3"/>
        <v>1295221.1200118833</v>
      </c>
      <c r="X17" s="52">
        <f t="shared" si="3"/>
        <v>3306512.2736848374</v>
      </c>
      <c r="Y17" s="52">
        <f t="shared" si="3"/>
        <v>1554423.4045760736</v>
      </c>
      <c r="Z17" s="52">
        <f t="shared" si="3"/>
        <v>1628939.9845790328</v>
      </c>
      <c r="AA17" s="52">
        <f t="shared" si="3"/>
        <v>1488351.6890133643</v>
      </c>
      <c r="AB17" s="52">
        <f t="shared" si="3"/>
        <v>2145225.0214894908</v>
      </c>
      <c r="AC17" s="52">
        <f t="shared" si="3"/>
        <v>1570395.7010915952</v>
      </c>
      <c r="AD17" s="52">
        <f t="shared" si="3"/>
        <v>1599710.3304710696</v>
      </c>
      <c r="AE17" s="52">
        <f t="shared" si="3"/>
        <v>1624499.3363078029</v>
      </c>
      <c r="AF17" s="52">
        <f t="shared" si="3"/>
        <v>1715185.0976086804</v>
      </c>
      <c r="AG17" s="52">
        <f t="shared" si="3"/>
        <v>1457596.4718260986</v>
      </c>
      <c r="AH17" s="52">
        <f t="shared" si="3"/>
        <v>1592787.7096704093</v>
      </c>
      <c r="AI17" s="52">
        <f t="shared" si="3"/>
        <v>1681525.7860706116</v>
      </c>
      <c r="AJ17" s="52">
        <f t="shared" si="3"/>
        <v>2315305.8933277391</v>
      </c>
      <c r="AK17" s="52">
        <f t="shared" si="3"/>
        <v>1490984.1653211974</v>
      </c>
      <c r="AL17" s="52">
        <f t="shared" si="3"/>
        <v>1791453.1003179988</v>
      </c>
      <c r="AM17" s="52">
        <f t="shared" si="3"/>
        <v>1807289.786046505</v>
      </c>
      <c r="AO17" s="52">
        <f>SUM(G17:AM17)</f>
        <v>44588305.319920421</v>
      </c>
      <c r="AP17" s="52">
        <f>SUM(K17:AM17)</f>
        <v>42666560.307182789</v>
      </c>
      <c r="AQ17" s="52">
        <f>SUM(AH17:AM17)</f>
        <v>10679346.440754462</v>
      </c>
    </row>
    <row r="18" spans="6:45" ht="9.75" customHeight="1" x14ac:dyDescent="0.3"/>
    <row r="19" spans="6:45" x14ac:dyDescent="0.3">
      <c r="F19" s="51" t="s">
        <v>81</v>
      </c>
      <c r="G19" s="50">
        <v>181350</v>
      </c>
      <c r="H19" s="50">
        <v>361900</v>
      </c>
      <c r="I19" s="50">
        <v>530000</v>
      </c>
      <c r="J19" s="50">
        <v>583000</v>
      </c>
      <c r="K19" s="50">
        <v>795000</v>
      </c>
      <c r="L19" s="50">
        <v>993116</v>
      </c>
      <c r="M19" s="50">
        <v>711882</v>
      </c>
      <c r="N19" s="50">
        <v>735009.83180048049</v>
      </c>
      <c r="O19" s="50">
        <v>735009.85</v>
      </c>
      <c r="P19" s="50">
        <v>862837.64999999991</v>
      </c>
      <c r="Q19" s="50">
        <v>862837.65</v>
      </c>
      <c r="R19" s="50">
        <v>1296821.8999999999</v>
      </c>
      <c r="S19" s="50">
        <v>1631584</v>
      </c>
      <c r="T19" s="50">
        <v>1631584</v>
      </c>
      <c r="U19" s="50">
        <v>1631584</v>
      </c>
      <c r="V19" s="50">
        <v>1631584</v>
      </c>
      <c r="W19" s="50">
        <v>1631584</v>
      </c>
      <c r="X19" s="50">
        <v>1905926.2022048</v>
      </c>
      <c r="Y19" s="50">
        <v>1550004.7964385401</v>
      </c>
      <c r="Z19" s="50">
        <v>1631584</v>
      </c>
      <c r="AA19" s="50">
        <v>1631584</v>
      </c>
      <c r="AB19" s="50">
        <v>1631584</v>
      </c>
      <c r="AC19" s="50">
        <v>1713163.2000000002</v>
      </c>
      <c r="AD19" s="50">
        <v>1794742.4000000001</v>
      </c>
      <c r="AE19" s="50">
        <v>1631584.0000000033</v>
      </c>
      <c r="AF19" s="50">
        <v>1631584.0000000033</v>
      </c>
      <c r="AG19" s="50">
        <v>1631584.0000000033</v>
      </c>
      <c r="AH19" s="50">
        <v>1631584.0000000033</v>
      </c>
      <c r="AI19" s="50">
        <v>1631584.0000000033</v>
      </c>
      <c r="AJ19" s="50">
        <v>1794742.4000000001</v>
      </c>
      <c r="AK19" s="50">
        <v>1631584.0000000033</v>
      </c>
      <c r="AL19" s="50">
        <v>1631584.0000000033</v>
      </c>
      <c r="AM19" s="50">
        <v>1794742.4000000036</v>
      </c>
      <c r="AO19" s="50">
        <f>SUM(G19:AM19)</f>
        <v>43675846.280443832</v>
      </c>
      <c r="AP19" s="50">
        <f>SUM(K19:AM19)</f>
        <v>42019596.28044384</v>
      </c>
      <c r="AQ19" s="50">
        <f>SUM(AH19:AM19)</f>
        <v>10115820.800000018</v>
      </c>
    </row>
    <row r="20" spans="6:45" x14ac:dyDescent="0.3">
      <c r="F20" s="53" t="s">
        <v>82</v>
      </c>
      <c r="G20" s="54">
        <v>460000</v>
      </c>
      <c r="H20" s="54">
        <v>530000</v>
      </c>
      <c r="I20" s="54">
        <v>530000</v>
      </c>
      <c r="J20" s="54">
        <v>530000</v>
      </c>
      <c r="K20" s="54">
        <v>530000</v>
      </c>
      <c r="L20" s="54">
        <v>610273</v>
      </c>
      <c r="M20" s="54">
        <v>639139</v>
      </c>
      <c r="N20" s="54">
        <v>639139</v>
      </c>
      <c r="O20" s="54">
        <v>639139</v>
      </c>
      <c r="P20" s="54">
        <v>639139</v>
      </c>
      <c r="Q20" s="54">
        <v>639139</v>
      </c>
      <c r="R20" s="54">
        <v>1631584</v>
      </c>
      <c r="S20" s="54">
        <v>1631584</v>
      </c>
      <c r="T20" s="54">
        <v>1631584</v>
      </c>
      <c r="U20" s="54">
        <v>1631584</v>
      </c>
      <c r="V20" s="54">
        <f t="shared" ref="V20:AM20" si="4">1631584*10</f>
        <v>16315840</v>
      </c>
      <c r="W20" s="54">
        <f t="shared" si="4"/>
        <v>16315840</v>
      </c>
      <c r="X20" s="54">
        <f t="shared" si="4"/>
        <v>16315840</v>
      </c>
      <c r="Y20" s="54">
        <f t="shared" si="4"/>
        <v>16315840</v>
      </c>
      <c r="Z20" s="54">
        <f t="shared" si="4"/>
        <v>16315840</v>
      </c>
      <c r="AA20" s="54">
        <f t="shared" si="4"/>
        <v>16315840</v>
      </c>
      <c r="AB20" s="54">
        <f t="shared" si="4"/>
        <v>16315840</v>
      </c>
      <c r="AC20" s="54">
        <f t="shared" si="4"/>
        <v>16315840</v>
      </c>
      <c r="AD20" s="54">
        <f t="shared" si="4"/>
        <v>16315840</v>
      </c>
      <c r="AE20" s="54">
        <f t="shared" si="4"/>
        <v>16315840</v>
      </c>
      <c r="AF20" s="54">
        <f t="shared" si="4"/>
        <v>16315840</v>
      </c>
      <c r="AG20" s="54">
        <f t="shared" si="4"/>
        <v>16315840</v>
      </c>
      <c r="AH20" s="54">
        <f t="shared" si="4"/>
        <v>16315840</v>
      </c>
      <c r="AI20" s="54">
        <f t="shared" si="4"/>
        <v>16315840</v>
      </c>
      <c r="AJ20" s="54">
        <f t="shared" si="4"/>
        <v>16315840</v>
      </c>
      <c r="AK20" s="54">
        <f t="shared" si="4"/>
        <v>16315840</v>
      </c>
      <c r="AL20" s="54">
        <f t="shared" si="4"/>
        <v>16315840</v>
      </c>
      <c r="AM20" s="54">
        <f t="shared" si="4"/>
        <v>16315840</v>
      </c>
      <c r="AO20" s="54">
        <f>AM20</f>
        <v>16315840</v>
      </c>
      <c r="AP20" s="54">
        <f>AM20</f>
        <v>16315840</v>
      </c>
      <c r="AQ20" s="54">
        <f>AM20</f>
        <v>16315840</v>
      </c>
    </row>
    <row r="21" spans="6:45" x14ac:dyDescent="0.3">
      <c r="F21" s="47" t="s">
        <v>86</v>
      </c>
      <c r="G21" s="48">
        <v>0.39423913043478259</v>
      </c>
      <c r="H21" s="48">
        <v>0.68283018867924528</v>
      </c>
      <c r="I21" s="48">
        <v>1</v>
      </c>
      <c r="J21" s="48">
        <v>1.1000000000000001</v>
      </c>
      <c r="K21" s="48">
        <v>1.5</v>
      </c>
      <c r="L21" s="48">
        <v>1.74</v>
      </c>
      <c r="M21" s="48">
        <v>1.1499999999999999</v>
      </c>
      <c r="N21" s="48">
        <v>1.1499999999999999</v>
      </c>
      <c r="O21" s="48">
        <v>1.1499999999999999</v>
      </c>
      <c r="P21" s="48">
        <v>1.35</v>
      </c>
      <c r="Q21" s="48">
        <v>1.35</v>
      </c>
      <c r="R21" s="48">
        <v>1.1499999999999999</v>
      </c>
      <c r="S21" s="48">
        <v>1</v>
      </c>
      <c r="T21" s="48">
        <v>1</v>
      </c>
      <c r="U21" s="48">
        <v>1</v>
      </c>
      <c r="V21" s="48">
        <v>1</v>
      </c>
      <c r="W21" s="48">
        <v>1</v>
      </c>
      <c r="X21" s="48">
        <v>1.1681447</v>
      </c>
      <c r="Y21" s="48">
        <v>0.95</v>
      </c>
      <c r="Z21" s="48">
        <v>1</v>
      </c>
      <c r="AA21" s="48">
        <v>1</v>
      </c>
      <c r="AB21" s="48">
        <v>1</v>
      </c>
      <c r="AC21" s="48">
        <v>1.05</v>
      </c>
      <c r="AD21" s="48">
        <v>1.1000000000000001</v>
      </c>
      <c r="AE21" s="48">
        <v>1</v>
      </c>
      <c r="AF21" s="48">
        <v>1</v>
      </c>
      <c r="AG21" s="48">
        <v>1</v>
      </c>
      <c r="AH21" s="48">
        <v>1</v>
      </c>
      <c r="AI21" s="48">
        <v>1</v>
      </c>
      <c r="AJ21" s="48">
        <v>1.1000000000000001</v>
      </c>
      <c r="AK21" s="48">
        <v>1</v>
      </c>
      <c r="AL21" s="48">
        <v>1</v>
      </c>
      <c r="AM21" s="48">
        <v>1.1000000000000001</v>
      </c>
      <c r="AO21" s="48">
        <f>SUM(G21:AM21)</f>
        <v>35.185214019114028</v>
      </c>
      <c r="AP21" s="48">
        <f>SUM(K21:AM21)</f>
        <v>32.008144700000003</v>
      </c>
      <c r="AQ21" s="48">
        <f>SUM(AH21:AM21)</f>
        <v>6.1999999999999993</v>
      </c>
    </row>
    <row r="23" spans="6:45" s="39" customFormat="1" x14ac:dyDescent="0.3">
      <c r="F23" s="51" t="s">
        <v>84</v>
      </c>
      <c r="G23" s="55" t="s">
        <v>52</v>
      </c>
      <c r="H23" s="55" t="s">
        <v>52</v>
      </c>
      <c r="I23" s="55" t="s">
        <v>52</v>
      </c>
      <c r="J23" s="55" t="s">
        <v>52</v>
      </c>
      <c r="K23" s="55">
        <v>100</v>
      </c>
      <c r="L23" s="55">
        <v>100</v>
      </c>
      <c r="M23" s="55">
        <v>99.949999999999989</v>
      </c>
      <c r="N23" s="55">
        <v>99.9</v>
      </c>
      <c r="O23" s="55">
        <v>99.5</v>
      </c>
      <c r="P23" s="55">
        <v>99</v>
      </c>
      <c r="Q23" s="55">
        <v>103.4</v>
      </c>
      <c r="R23" s="55">
        <v>102</v>
      </c>
      <c r="S23" s="55">
        <v>99</v>
      </c>
      <c r="T23" s="55">
        <v>92.99</v>
      </c>
      <c r="U23" s="55">
        <v>85.99</v>
      </c>
      <c r="V23" s="55">
        <v>8.6999999999999993</v>
      </c>
      <c r="W23" s="55">
        <v>8.6300000000000008</v>
      </c>
      <c r="X23" s="55">
        <v>8.92</v>
      </c>
      <c r="Y23" s="55">
        <v>8.4600000000000009</v>
      </c>
      <c r="Z23" s="55">
        <v>8.15</v>
      </c>
      <c r="AA23" s="55">
        <v>8.0399999999999991</v>
      </c>
      <c r="AB23" s="55">
        <v>8.32</v>
      </c>
      <c r="AC23" s="55">
        <v>8.6999999999999993</v>
      </c>
      <c r="AD23" s="55">
        <v>9</v>
      </c>
      <c r="AE23" s="55">
        <v>9.1199999999999992</v>
      </c>
      <c r="AF23" s="55">
        <v>9.4</v>
      </c>
      <c r="AG23" s="55">
        <v>9.5500000000000007</v>
      </c>
      <c r="AH23" s="55">
        <v>9.2799999999999994</v>
      </c>
      <c r="AI23" s="55">
        <v>9.3300000000000018</v>
      </c>
      <c r="AJ23" s="55">
        <v>9.7799999999999994</v>
      </c>
      <c r="AK23" s="55">
        <v>9.870000000000001</v>
      </c>
      <c r="AL23" s="55">
        <v>9.6300000000000008</v>
      </c>
      <c r="AM23" s="55">
        <f>Resumo!$C$18</f>
        <v>9.6400000000000023</v>
      </c>
      <c r="AO23" s="4"/>
      <c r="AP23" s="4"/>
      <c r="AQ23" s="4"/>
    </row>
    <row r="24" spans="6:45" x14ac:dyDescent="0.3">
      <c r="AO24" s="70"/>
      <c r="AP24" s="70"/>
      <c r="AQ24" s="70"/>
    </row>
    <row r="25" spans="6:45" x14ac:dyDescent="0.3">
      <c r="AS25" s="78"/>
    </row>
    <row r="26" spans="6:45" x14ac:dyDescent="0.3">
      <c r="AH26" s="65"/>
      <c r="AJ26" s="70"/>
      <c r="AK26" s="70"/>
      <c r="AL26" s="70"/>
      <c r="AM26" s="64"/>
      <c r="AO26" s="64"/>
      <c r="AP26" s="64"/>
      <c r="AQ26" s="64"/>
      <c r="AS26" s="78"/>
    </row>
    <row r="27" spans="6:45" x14ac:dyDescent="0.3">
      <c r="AJ27" s="71"/>
      <c r="AK27" s="71"/>
      <c r="AL27" s="71"/>
      <c r="AO27" s="64"/>
      <c r="AP27" s="64"/>
      <c r="AQ27" s="64"/>
      <c r="AS27" s="78"/>
    </row>
    <row r="28" spans="6:45" x14ac:dyDescent="0.3">
      <c r="AM28" s="64"/>
    </row>
    <row r="29" spans="6:45" x14ac:dyDescent="0.3"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72"/>
      <c r="AK29" s="72"/>
      <c r="AL29" s="72"/>
      <c r="AM29" s="72"/>
    </row>
    <row r="30" spans="6:45" x14ac:dyDescent="0.3">
      <c r="AJ30" s="72"/>
      <c r="AK30" s="72"/>
      <c r="AL30" s="72"/>
      <c r="AM30" s="70"/>
      <c r="AS30" s="64"/>
    </row>
    <row r="32" spans="6:45" x14ac:dyDescent="0.3"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spans="7:39" x14ac:dyDescent="0.3"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3:AG13 AO18 AO14 AP18 AP14 AP10:AP13 AP15:AP17 AP19 AP9 AQ18 AQ14 AQ9:AQ13 AQ15:AQ17 AQ19 AP21 AQ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2024-04-12T18:10:37Z</cp:lastPrinted>
  <dcterms:created xsi:type="dcterms:W3CDTF">2023-10-11T17:28:22Z</dcterms:created>
  <dcterms:modified xsi:type="dcterms:W3CDTF">2024-04-12T18:11:20Z</dcterms:modified>
</cp:coreProperties>
</file>