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8129"/>
  <workbookPr/>
  <xr:revisionPtr revIDLastSave="0" documentId="8_{81EA7F4D-6CE5-41F3-9BFA-263961A25147}" xr6:coauthVersionLast="47" xr6:coauthVersionMax="47" xr10:uidLastSave="{00000000-0000-0000-0000-000000000000}"/>
  <bookViews>
    <workbookView xWindow="-120" yWindow="-120" windowWidth="29040" windowHeight="16440"/>
  </bookViews>
  <sheets>
    <sheet name="Resumo" sheetId="2" r:id="rId1"/>
    <sheet name="Detalhamento de operações" sheetId="3" r:id="rId2"/>
    <sheet name="DRE" sheetId="4" r:id="rId3"/>
  </sheets>
  <definedNames>
    <definedName name="_xlnm._FilterDatabase" localSheetId="1" hidden="1">'Detalhamento de operações'!$C$7:$AB$29</definedName>
  </definedNames>
  <calcPr calcId="191029" calcMode="manual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4" l="1"/>
  <c r="L9" i="2"/>
  <c r="N9" i="2"/>
  <c r="C12" i="2"/>
  <c r="C18" i="2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7" i="3"/>
  <c r="O28" i="3"/>
  <c r="O29" i="3"/>
  <c r="H8" i="4"/>
  <c r="I8" i="4"/>
  <c r="J8" i="4" s="1"/>
  <c r="K8" i="4" s="1"/>
  <c r="L8" i="4" s="1"/>
  <c r="M8" i="4" s="1"/>
  <c r="N8" i="4" s="1"/>
  <c r="O8" i="4" s="1"/>
  <c r="P8" i="4" s="1"/>
  <c r="Q8" i="4" s="1"/>
  <c r="S9" i="4"/>
  <c r="T9" i="4"/>
  <c r="S10" i="4"/>
  <c r="S11" i="4"/>
  <c r="T11" i="4"/>
  <c r="S12" i="4"/>
  <c r="T12" i="4"/>
  <c r="G13" i="4"/>
  <c r="H13" i="4"/>
  <c r="I13" i="4"/>
  <c r="J13" i="4"/>
  <c r="K13" i="4"/>
  <c r="S13" i="4" s="1"/>
  <c r="L13" i="4"/>
  <c r="T13" i="4" s="1"/>
  <c r="M13" i="4"/>
  <c r="N13" i="4"/>
  <c r="N17" i="4" s="1"/>
  <c r="O13" i="4"/>
  <c r="P13" i="4"/>
  <c r="Q13" i="4"/>
  <c r="S15" i="4"/>
  <c r="T15" i="4"/>
  <c r="G16" i="4"/>
  <c r="S16" i="4" s="1"/>
  <c r="H16" i="4"/>
  <c r="I16" i="4"/>
  <c r="J16" i="4"/>
  <c r="K16" i="4"/>
  <c r="K17" i="4" s="1"/>
  <c r="L16" i="4"/>
  <c r="L17" i="4" s="1"/>
  <c r="M16" i="4"/>
  <c r="M17" i="4" s="1"/>
  <c r="N16" i="4"/>
  <c r="O16" i="4"/>
  <c r="O17" i="4" s="1"/>
  <c r="P16" i="4"/>
  <c r="Q16" i="4"/>
  <c r="H17" i="4"/>
  <c r="I17" i="4"/>
  <c r="J17" i="4"/>
  <c r="P17" i="4"/>
  <c r="Q17" i="4"/>
  <c r="S19" i="4"/>
  <c r="T19" i="4"/>
  <c r="G21" i="4"/>
  <c r="L12" i="2" s="1"/>
  <c r="H21" i="4"/>
  <c r="I21" i="4"/>
  <c r="J21" i="4"/>
  <c r="K21" i="4"/>
  <c r="S21" i="4" s="1"/>
  <c r="L21" i="4"/>
  <c r="M21" i="4"/>
  <c r="N21" i="4"/>
  <c r="O21" i="4"/>
  <c r="P21" i="4"/>
  <c r="Q21" i="4"/>
  <c r="J9" i="2" s="1"/>
  <c r="T21" i="4"/>
  <c r="G23" i="4"/>
  <c r="T17" i="4" l="1"/>
  <c r="G17" i="4"/>
  <c r="S17" i="4" s="1"/>
  <c r="T16" i="4"/>
</calcChain>
</file>

<file path=xl/sharedStrings.xml><?xml version="1.0" encoding="utf-8"?>
<sst xmlns="http://schemas.openxmlformats.org/spreadsheetml/2006/main" count="334" uniqueCount="148">
  <si>
    <t>Segmento</t>
  </si>
  <si>
    <t>Tipo</t>
  </si>
  <si>
    <t>Residencial</t>
  </si>
  <si>
    <t>IPCA+</t>
  </si>
  <si>
    <t>Sudeste</t>
  </si>
  <si>
    <t>Pulverizado</t>
  </si>
  <si>
    <t>Comercial</t>
  </si>
  <si>
    <t>INCC+</t>
  </si>
  <si>
    <t>Equity</t>
  </si>
  <si>
    <t>Epiroc</t>
  </si>
  <si>
    <t>Bioma</t>
  </si>
  <si>
    <t>Caixa</t>
  </si>
  <si>
    <t>22J1370286</t>
  </si>
  <si>
    <t>23F2910406</t>
  </si>
  <si>
    <t>23H2512601</t>
  </si>
  <si>
    <t>n.a</t>
  </si>
  <si>
    <t>Objetivo do Fundo</t>
  </si>
  <si>
    <t>Patrimônio Líquido</t>
  </si>
  <si>
    <t>Número de Cotistas</t>
  </si>
  <si>
    <t>Início do Fundo</t>
  </si>
  <si>
    <t>LTV</t>
  </si>
  <si>
    <t xml:space="preserve">Auferir ganhos pela aplicação de seus recursos em ativos financeiros com lastro imobiliário, tais como CRI, Debênture, LCI, LH e cotas de FIIs e ativos imobiliários, como imóveis comerciais e projetos imobiliários residenciais.
</t>
  </si>
  <si>
    <t>Valor de mercado</t>
  </si>
  <si>
    <t>Data base:</t>
  </si>
  <si>
    <t>Taxa de Administração e Gestão</t>
  </si>
  <si>
    <t>Taxa de performance</t>
  </si>
  <si>
    <t>20% do que exceder IPCA + IMA-B5 + 1.00% a.a.</t>
  </si>
  <si>
    <t>VENCIMENTO DO CRI</t>
  </si>
  <si>
    <t>REGIÃO</t>
  </si>
  <si>
    <t>DURATION (ANOS)</t>
  </si>
  <si>
    <t>Sênior</t>
  </si>
  <si>
    <t>Fluxo Financeiro</t>
  </si>
  <si>
    <t>Semestre</t>
  </si>
  <si>
    <t>Ganho de Capital RF</t>
  </si>
  <si>
    <t>Dividendos CRI (Juros e Correção)</t>
  </si>
  <si>
    <t>L/P com venda de ativos</t>
  </si>
  <si>
    <t>Divedendos FIIs</t>
  </si>
  <si>
    <t>Receitas</t>
  </si>
  <si>
    <t>Despesas Operacionais</t>
  </si>
  <si>
    <t>Despesas</t>
  </si>
  <si>
    <t>Resultado</t>
  </si>
  <si>
    <t>Distribuição</t>
  </si>
  <si>
    <t>Qtd. De Cotas</t>
  </si>
  <si>
    <t>Desde o início</t>
  </si>
  <si>
    <t>Valor da cota no fechamento</t>
  </si>
  <si>
    <t>Último yield anualizado</t>
  </si>
  <si>
    <t>Dividendos a pagar no mês (base 10)</t>
  </si>
  <si>
    <t>Indicadores financeiros</t>
  </si>
  <si>
    <t>Rentabilidade desce o início</t>
  </si>
  <si>
    <t>Cota patrimonial</t>
  </si>
  <si>
    <t>Cota a valor de mercado</t>
  </si>
  <si>
    <t>Rentabilidade em CDI bruto</t>
  </si>
  <si>
    <t>Rentabilidade em CDI liquído</t>
  </si>
  <si>
    <t>Rentabilidade futura para ativo CDI +</t>
  </si>
  <si>
    <t>Rentabilidade futura para ativo INCC +</t>
  </si>
  <si>
    <t>Rentabilidade futura para ativo IPCA +</t>
  </si>
  <si>
    <t>Cota</t>
  </si>
  <si>
    <t>Única</t>
  </si>
  <si>
    <t>% Colateral/Subordinação</t>
  </si>
  <si>
    <t>DI+</t>
  </si>
  <si>
    <t>True</t>
  </si>
  <si>
    <t>Provincia</t>
  </si>
  <si>
    <t>Opea</t>
  </si>
  <si>
    <t>Travessia</t>
  </si>
  <si>
    <t>Ativo</t>
  </si>
  <si>
    <t>Código do ativo</t>
  </si>
  <si>
    <t>Oliveira Trust</t>
  </si>
  <si>
    <t>Index</t>
  </si>
  <si>
    <t>Taxa aquisição</t>
  </si>
  <si>
    <t>Taxa MTM</t>
  </si>
  <si>
    <t>Investimento</t>
  </si>
  <si>
    <t>Saldo curva</t>
  </si>
  <si>
    <t>Saldo MTM</t>
  </si>
  <si>
    <t>% da carteira</t>
  </si>
  <si>
    <t>Agente Fiduciário</t>
  </si>
  <si>
    <t>Securitizadora</t>
  </si>
  <si>
    <t>23H0153033</t>
  </si>
  <si>
    <t>Technion</t>
  </si>
  <si>
    <t>CRI</t>
  </si>
  <si>
    <t>23L1605236</t>
  </si>
  <si>
    <t>1,25% a.a.</t>
  </si>
  <si>
    <t>Dividendos médio desde o início na CETIP</t>
  </si>
  <si>
    <t>Percentual alocado</t>
  </si>
  <si>
    <t>Rio_Bravo</t>
  </si>
  <si>
    <t>24A2020894</t>
  </si>
  <si>
    <t>24A1588305</t>
  </si>
  <si>
    <t>23L2833549</t>
  </si>
  <si>
    <t>IGPM+</t>
  </si>
  <si>
    <t>Planner</t>
  </si>
  <si>
    <t>EBM</t>
  </si>
  <si>
    <t>Harmonia</t>
  </si>
  <si>
    <t>MRV Flex</t>
  </si>
  <si>
    <t>Co-inc</t>
  </si>
  <si>
    <t>Centro-Oeste</t>
  </si>
  <si>
    <t>Sudeste e Centro Oeste</t>
  </si>
  <si>
    <t>Sudeste, Nordeste e Centro Oeste</t>
  </si>
  <si>
    <t>Todo Brasil</t>
  </si>
  <si>
    <t>Obra</t>
  </si>
  <si>
    <t>Aquisição</t>
  </si>
  <si>
    <t>Pulverizado 1</t>
  </si>
  <si>
    <t>Quantidade</t>
  </si>
  <si>
    <t>Yield médio anualizado desde o início</t>
  </si>
  <si>
    <t>Rentabilidade futura para ativo IGPM +</t>
  </si>
  <si>
    <t>Shopping Itaquera</t>
  </si>
  <si>
    <t>24C1526928</t>
  </si>
  <si>
    <t>Vortx</t>
  </si>
  <si>
    <t>PHV</t>
  </si>
  <si>
    <t>EBM - Série 1</t>
  </si>
  <si>
    <t>22H2625201</t>
  </si>
  <si>
    <t>24D3468496</t>
  </si>
  <si>
    <t>24D3470114</t>
  </si>
  <si>
    <t>24D3470625</t>
  </si>
  <si>
    <t>EBM - Série 2</t>
  </si>
  <si>
    <t>EBM - Série 3</t>
  </si>
  <si>
    <t>Giro de Estoque</t>
  </si>
  <si>
    <t>Permuta financeira</t>
  </si>
  <si>
    <t>Habitasec</t>
  </si>
  <si>
    <t>Somos - Level Home Resort</t>
  </si>
  <si>
    <t>Daxo</t>
  </si>
  <si>
    <t>24E2191109</t>
  </si>
  <si>
    <t>Acompanhamento</t>
  </si>
  <si>
    <t>24F2263347</t>
  </si>
  <si>
    <t>LFT¹</t>
  </si>
  <si>
    <t>Neo - Financeiro</t>
  </si>
  <si>
    <t>Planeta - Financeiro</t>
  </si>
  <si>
    <t>CTE - Obra / Monitori - Financeiro</t>
  </si>
  <si>
    <t>CCC - Obra / CCC - Financeiro</t>
  </si>
  <si>
    <t>PGB - Obra</t>
  </si>
  <si>
    <t>CCC - Obra / OPEA - Financeiro</t>
  </si>
  <si>
    <t>CCC - Obra / Monitori - Financeiro</t>
  </si>
  <si>
    <t>Compass - Obra</t>
  </si>
  <si>
    <t>SWA - Patriarca</t>
  </si>
  <si>
    <t>24G1627395</t>
  </si>
  <si>
    <t>Playbanco</t>
  </si>
  <si>
    <t>Trustee DTVM</t>
  </si>
  <si>
    <t>Binswanger - Obra /  Neo - Financeiro</t>
  </si>
  <si>
    <t>Tipo de pulverizado</t>
  </si>
  <si>
    <t>100% residencial</t>
  </si>
  <si>
    <t>33% comercial / 67% residencial</t>
  </si>
  <si>
    <t>Distribuição média por cota (base 10)</t>
  </si>
  <si>
    <t>24I1419236</t>
  </si>
  <si>
    <t>MRV Flex 2</t>
  </si>
  <si>
    <t>PG - Klabin</t>
  </si>
  <si>
    <t>¹ Valor líquido de dividendos pago no montante de R$ 1.997.014,76.</t>
  </si>
  <si>
    <t>FII</t>
  </si>
  <si>
    <t>GARE11</t>
  </si>
  <si>
    <t>Fundo</t>
  </si>
  <si>
    <t>Fundo imobiliário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</si>
</sst>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3" formatCode="_-* #,##0.00_-;\-* #,##0.00_-;_-* &quot;-&quot;??_-;_-@_-"/>
    <numFmt numFmtId="168" formatCode="&quot;R$&quot;\ #,##0.00"/>
    <numFmt numFmtId="170" formatCode="#,##0.000"/>
    <numFmt numFmtId="172" formatCode="#,##0.0"/>
    <numFmt numFmtId="180" formatCode="&quot;R$&quot;\ #,##0.000;[Red]\-&quot;R$&quot;\ #,##0.000"/>
  </numFmts>
  <fonts count="19" x14ac:knownFonts="1">
    <font>
      <sz val="11"/>
      <color theme="1"/>
      <name val="Calibri"/>
      <family val="2"/>
      <scheme val="minor"/>
    </font>
    <font>
      <sz val="9"/>
      <name val="Darker Grotesque"/>
    </font>
    <font>
      <b/>
      <sz val="9"/>
      <name val="Darker Grotesque"/>
    </font>
    <font>
      <b/>
      <sz val="16"/>
      <name val="Darker Grotesque"/>
    </font>
    <font>
      <sz val="11"/>
      <color theme="1"/>
      <name val="Calibri"/>
      <family val="2"/>
      <scheme val="minor"/>
    </font>
    <font>
      <sz val="11"/>
      <color theme="1"/>
      <name val="Darker Grotesque"/>
    </font>
    <font>
      <b/>
      <sz val="16"/>
      <color theme="1"/>
      <name val="Darker Grotesque"/>
    </font>
    <font>
      <sz val="10"/>
      <color theme="1"/>
      <name val="Darker Grotesque"/>
    </font>
    <font>
      <b/>
      <sz val="12"/>
      <color theme="1"/>
      <name val="Darker Grotesque"/>
    </font>
    <font>
      <sz val="14"/>
      <color theme="1"/>
      <name val="Darker Grotesque"/>
    </font>
    <font>
      <sz val="9"/>
      <color theme="1"/>
      <name val="Darker Grotesque"/>
    </font>
    <font>
      <sz val="9"/>
      <color rgb="FF000000"/>
      <name val="Darker Grotesque"/>
    </font>
    <font>
      <b/>
      <sz val="10"/>
      <color rgb="FFFFFFFF"/>
      <name val="Darker Grotesque"/>
    </font>
    <font>
      <b/>
      <sz val="10"/>
      <color theme="0"/>
      <name val="Darker Grotesque"/>
    </font>
    <font>
      <b/>
      <sz val="9"/>
      <color theme="1"/>
      <name val="Darker Grotesque"/>
    </font>
    <font>
      <sz val="16"/>
      <color theme="1"/>
      <name val="Darker Grotesque"/>
    </font>
    <font>
      <sz val="7"/>
      <color theme="1"/>
      <name val="Darker Grotesque"/>
    </font>
    <font>
      <sz val="10.5"/>
      <color theme="1"/>
      <name val="Calibri"/>
      <family val="2"/>
    </font>
    <font>
      <b/>
      <sz val="11"/>
      <color theme="1"/>
      <name val="Darker Grotesque"/>
    </font>
  </fonts>
  <fills count="7">
    <fill>
      <patternFill patternType="none"/>
    </fill>
    <fill>
      <patternFill patternType="gray125"/>
    </fill>
    <fill>
      <patternFill patternType="solid">
        <fgColor rgb="FF2D15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7">
    <xf numFmtId="0" fontId="0" fillId="0" borderId="0" xfId="0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0" fontId="5" fillId="0" borderId="6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168" fontId="6" fillId="0" borderId="0" xfId="2" applyNumberFormat="1" applyFont="1" applyAlignment="1">
      <alignment horizontal="left" vertical="center"/>
    </xf>
    <xf numFmtId="8" fontId="6" fillId="0" borderId="0" xfId="0" applyNumberFormat="1" applyFont="1" applyAlignment="1">
      <alignment horizontal="left" vertical="center"/>
    </xf>
    <xf numFmtId="3" fontId="6" fillId="0" borderId="10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4" fontId="6" fillId="0" borderId="10" xfId="0" applyNumberFormat="1" applyFont="1" applyBorder="1" applyAlignment="1">
      <alignment horizontal="left" vertical="center" wrapText="1"/>
    </xf>
    <xf numFmtId="8" fontId="8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vertical="center"/>
    </xf>
    <xf numFmtId="14" fontId="5" fillId="0" borderId="0" xfId="0" applyNumberFormat="1" applyFont="1" applyAlignment="1">
      <alignment horizontal="left" vertical="center"/>
    </xf>
    <xf numFmtId="0" fontId="10" fillId="0" borderId="0" xfId="0" applyFont="1" applyFill="1" applyBorder="1" applyAlignment="1">
      <alignment horizontal="center" vertical="center" readingOrder="1"/>
    </xf>
    <xf numFmtId="10" fontId="10" fillId="0" borderId="0" xfId="0" applyNumberFormat="1" applyFont="1" applyFill="1" applyBorder="1" applyAlignment="1">
      <alignment horizontal="center" vertical="center" readingOrder="1"/>
    </xf>
    <xf numFmtId="3" fontId="10" fillId="0" borderId="0" xfId="0" applyNumberFormat="1" applyFont="1" applyFill="1" applyBorder="1" applyAlignment="1">
      <alignment horizontal="center" vertical="center" readingOrder="1"/>
    </xf>
    <xf numFmtId="17" fontId="10" fillId="0" borderId="0" xfId="0" applyNumberFormat="1" applyFont="1" applyFill="1" applyBorder="1" applyAlignment="1">
      <alignment horizontal="center" vertical="center" readingOrder="1"/>
    </xf>
    <xf numFmtId="0" fontId="11" fillId="0" borderId="0" xfId="0" applyFont="1" applyFill="1" applyBorder="1" applyAlignment="1">
      <alignment horizontal="center" vertical="center" readingOrder="1"/>
    </xf>
    <xf numFmtId="10" fontId="11" fillId="0" borderId="0" xfId="0" applyNumberFormat="1" applyFont="1" applyFill="1" applyBorder="1" applyAlignment="1">
      <alignment horizontal="center" vertical="center" readingOrder="1"/>
    </xf>
    <xf numFmtId="3" fontId="11" fillId="0" borderId="0" xfId="0" applyNumberFormat="1" applyFont="1" applyFill="1" applyBorder="1" applyAlignment="1">
      <alignment horizontal="center" vertical="center" readingOrder="1"/>
    </xf>
    <xf numFmtId="17" fontId="11" fillId="0" borderId="0" xfId="0" applyNumberFormat="1" applyFont="1" applyFill="1" applyBorder="1" applyAlignment="1">
      <alignment horizontal="center" vertical="center" readingOrder="1"/>
    </xf>
    <xf numFmtId="10" fontId="11" fillId="0" borderId="0" xfId="1" applyNumberFormat="1" applyFont="1" applyFill="1" applyBorder="1" applyAlignment="1">
      <alignment horizontal="center" vertical="center" readingOrder="1"/>
    </xf>
    <xf numFmtId="3" fontId="1" fillId="0" borderId="0" xfId="0" applyNumberFormat="1" applyFont="1" applyFill="1" applyBorder="1" applyAlignment="1">
      <alignment horizontal="center" vertical="center" readingOrder="1"/>
    </xf>
    <xf numFmtId="0" fontId="12" fillId="2" borderId="1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readingOrder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Fill="1" applyAlignment="1">
      <alignment horizontal="center"/>
    </xf>
    <xf numFmtId="0" fontId="13" fillId="3" borderId="1" xfId="0" applyFont="1" applyFill="1" applyBorder="1" applyAlignment="1">
      <alignment vertical="center"/>
    </xf>
    <xf numFmtId="17" fontId="13" fillId="3" borderId="1" xfId="0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center"/>
    </xf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3" fontId="5" fillId="0" borderId="0" xfId="0" applyNumberFormat="1" applyFont="1"/>
    <xf numFmtId="3" fontId="14" fillId="5" borderId="0" xfId="0" applyNumberFormat="1" applyFont="1" applyFill="1" applyBorder="1" applyAlignment="1">
      <alignment horizontal="left" vertical="center"/>
    </xf>
    <xf numFmtId="3" fontId="14" fillId="5" borderId="0" xfId="0" applyNumberFormat="1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horizontal="center" vertical="center"/>
    </xf>
    <xf numFmtId="4" fontId="14" fillId="5" borderId="0" xfId="0" applyNumberFormat="1" applyFont="1" applyFill="1" applyBorder="1" applyAlignment="1">
      <alignment horizontal="center" vertical="center"/>
    </xf>
    <xf numFmtId="10" fontId="6" fillId="0" borderId="0" xfId="2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10" fontId="6" fillId="0" borderId="10" xfId="0" applyNumberFormat="1" applyFont="1" applyBorder="1" applyAlignment="1">
      <alignment horizontal="left" vertical="center"/>
    </xf>
    <xf numFmtId="10" fontId="6" fillId="0" borderId="10" xfId="2" applyNumberFormat="1" applyFont="1" applyBorder="1" applyAlignment="1">
      <alignment horizontal="left" vertical="center"/>
    </xf>
    <xf numFmtId="172" fontId="10" fillId="0" borderId="0" xfId="0" applyNumberFormat="1" applyFont="1" applyFill="1" applyBorder="1" applyAlignment="1">
      <alignment horizontal="center" vertical="center" readingOrder="1"/>
    </xf>
    <xf numFmtId="172" fontId="11" fillId="0" borderId="0" xfId="0" applyNumberFormat="1" applyFont="1" applyFill="1" applyBorder="1" applyAlignment="1">
      <alignment horizontal="center" vertical="center" readingOrder="1"/>
    </xf>
    <xf numFmtId="172" fontId="10" fillId="0" borderId="0" xfId="0" applyNumberFormat="1" applyFont="1" applyFill="1" applyAlignment="1">
      <alignment horizontal="center"/>
    </xf>
    <xf numFmtId="4" fontId="5" fillId="0" borderId="0" xfId="0" applyNumberFormat="1" applyFont="1"/>
    <xf numFmtId="10" fontId="5" fillId="0" borderId="0" xfId="0" applyNumberFormat="1" applyFont="1"/>
    <xf numFmtId="168" fontId="6" fillId="0" borderId="0" xfId="2" applyNumberFormat="1" applyFont="1" applyAlignment="1">
      <alignment horizontal="left" vertical="center" wrapText="1"/>
    </xf>
    <xf numFmtId="10" fontId="10" fillId="0" borderId="0" xfId="0" applyNumberFormat="1" applyFont="1" applyAlignment="1">
      <alignment horizontal="center"/>
    </xf>
    <xf numFmtId="10" fontId="6" fillId="0" borderId="0" xfId="1" applyNumberFormat="1" applyFont="1" applyFill="1" applyAlignment="1">
      <alignment horizontal="left" vertical="center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vertical="center"/>
    </xf>
    <xf numFmtId="10" fontId="6" fillId="0" borderId="0" xfId="2" applyNumberFormat="1" applyFont="1" applyFill="1" applyAlignment="1">
      <alignment horizontal="left" vertical="center"/>
    </xf>
    <xf numFmtId="10" fontId="12" fillId="2" borderId="11" xfId="0" applyNumberFormat="1" applyFont="1" applyFill="1" applyBorder="1" applyAlignment="1">
      <alignment horizontal="center" vertical="center" readingOrder="1"/>
    </xf>
    <xf numFmtId="17" fontId="13" fillId="3" borderId="0" xfId="0" applyNumberFormat="1" applyFont="1" applyFill="1" applyBorder="1" applyAlignment="1">
      <alignment horizontal="center"/>
    </xf>
    <xf numFmtId="170" fontId="14" fillId="4" borderId="0" xfId="0" applyNumberFormat="1" applyFont="1" applyFill="1" applyBorder="1" applyAlignment="1">
      <alignment horizontal="center" vertical="center"/>
    </xf>
    <xf numFmtId="180" fontId="6" fillId="0" borderId="0" xfId="0" applyNumberFormat="1" applyFont="1" applyAlignment="1">
      <alignment horizontal="left" vertical="center"/>
    </xf>
    <xf numFmtId="0" fontId="11" fillId="0" borderId="0" xfId="0" quotePrefix="1" applyFont="1" applyFill="1" applyBorder="1" applyAlignment="1">
      <alignment horizontal="center" vertical="center" readingOrder="1"/>
    </xf>
    <xf numFmtId="9" fontId="11" fillId="0" borderId="0" xfId="0" applyNumberFormat="1" applyFont="1" applyFill="1" applyBorder="1" applyAlignment="1">
      <alignment horizontal="center" vertical="center" readingOrder="1"/>
    </xf>
    <xf numFmtId="172" fontId="5" fillId="0" borderId="0" xfId="0" applyNumberFormat="1" applyFont="1" applyAlignment="1">
      <alignment horizontal="center"/>
    </xf>
    <xf numFmtId="0" fontId="16" fillId="0" borderId="0" xfId="0" applyFont="1" applyAlignment="1"/>
    <xf numFmtId="3" fontId="5" fillId="0" borderId="0" xfId="0" applyNumberFormat="1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0" fontId="6" fillId="0" borderId="0" xfId="2" applyNumberFormat="1" applyFont="1" applyBorder="1" applyAlignment="1">
      <alignment horizontal="left" vertical="center"/>
    </xf>
    <xf numFmtId="10" fontId="17" fillId="0" borderId="0" xfId="2" applyNumberFormat="1" applyFont="1" applyFill="1" applyBorder="1" applyAlignment="1">
      <alignment horizontal="center" vertical="center" readingOrder="1"/>
    </xf>
    <xf numFmtId="3" fontId="17" fillId="0" borderId="0" xfId="0" applyNumberFormat="1" applyFont="1" applyFill="1" applyBorder="1" applyAlignment="1">
      <alignment horizontal="center" vertical="center" readingOrder="1"/>
    </xf>
    <xf numFmtId="10" fontId="17" fillId="0" borderId="0" xfId="0" applyNumberFormat="1" applyFont="1" applyFill="1" applyBorder="1" applyAlignment="1">
      <alignment horizontal="center" vertical="center" readingOrder="1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4" fontId="17" fillId="0" borderId="0" xfId="2" applyNumberFormat="1" applyFont="1" applyFill="1" applyBorder="1" applyAlignment="1">
      <alignment horizontal="center" vertical="center" readingOrder="1"/>
    </xf>
    <xf numFmtId="3" fontId="17" fillId="0" borderId="0" xfId="2" applyNumberFormat="1" applyFont="1" applyFill="1" applyBorder="1" applyAlignment="1">
      <alignment horizontal="center" vertical="center" readingOrder="1"/>
    </xf>
    <xf numFmtId="172" fontId="11" fillId="6" borderId="0" xfId="0" applyNumberFormat="1" applyFont="1" applyFill="1" applyBorder="1" applyAlignment="1">
      <alignment horizontal="center" vertical="center" readingOrder="1"/>
    </xf>
    <xf numFmtId="17" fontId="11" fillId="6" borderId="0" xfId="0" applyNumberFormat="1" applyFont="1" applyFill="1" applyBorder="1" applyAlignment="1">
      <alignment horizontal="center" vertical="center" readingOrder="1"/>
    </xf>
    <xf numFmtId="10" fontId="11" fillId="6" borderId="0" xfId="0" applyNumberFormat="1" applyFont="1" applyFill="1" applyBorder="1" applyAlignment="1">
      <alignment horizontal="center" vertical="center" readingOrder="1"/>
    </xf>
    <xf numFmtId="4" fontId="18" fillId="0" borderId="0" xfId="0" applyNumberFormat="1" applyFont="1"/>
    <xf numFmtId="3" fontId="3" fillId="0" borderId="0" xfId="0" applyNumberFormat="1" applyFont="1" applyAlignment="1">
      <alignment horizontal="left" vertical="center"/>
    </xf>
    <xf numFmtId="10" fontId="18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</xdr:row>
      <xdr:rowOff>200025</xdr:rowOff>
    </xdr:from>
    <xdr:to>
      <xdr:col>2</xdr:col>
      <xdr:colOff>1476375</xdr:colOff>
      <xdr:row>3</xdr:row>
      <xdr:rowOff>171450</xdr:rowOff>
    </xdr:to>
    <xdr:pic>
      <xdr:nvPicPr>
        <xdr:cNvPr id="23638" name="Imagem 10">
          <a:extLst>
            <a:ext uri="{FF2B5EF4-FFF2-40B4-BE49-F238E27FC236}">
              <a16:creationId xmlns:a16="http://schemas.microsoft.com/office/drawing/2014/main" id="{54026802-AF15-FB4C-D493-79D1A9C4B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9575"/>
          <a:ext cx="14287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</xdr:row>
      <xdr:rowOff>66675</xdr:rowOff>
    </xdr:from>
    <xdr:to>
      <xdr:col>2</xdr:col>
      <xdr:colOff>1352550</xdr:colOff>
      <xdr:row>7</xdr:row>
      <xdr:rowOff>38100</xdr:rowOff>
    </xdr:to>
    <xdr:grpSp>
      <xdr:nvGrpSpPr>
        <xdr:cNvPr id="23639" name="Agrupar 11">
          <a:extLst>
            <a:ext uri="{FF2B5EF4-FFF2-40B4-BE49-F238E27FC236}">
              <a16:creationId xmlns:a16="http://schemas.microsoft.com/office/drawing/2014/main" id="{6A0995D4-2A71-8E1F-0F59-DAA865EABF49}"/>
            </a:ext>
          </a:extLst>
        </xdr:cNvPr>
        <xdr:cNvGrpSpPr>
          <a:grpSpLocks/>
        </xdr:cNvGrpSpPr>
      </xdr:nvGrpSpPr>
      <xdr:grpSpPr bwMode="auto">
        <a:xfrm>
          <a:off x="551392" y="983897"/>
          <a:ext cx="1171575" cy="579967"/>
          <a:chOff x="3335767" y="5244097"/>
          <a:chExt cx="1171532" cy="517530"/>
        </a:xfrm>
      </xdr:grpSpPr>
      <xdr:sp macro="" textlink="">
        <xdr:nvSpPr>
          <xdr:cNvPr id="13" name="Subtítulo 1">
            <a:extLst>
              <a:ext uri="{FF2B5EF4-FFF2-40B4-BE49-F238E27FC236}">
                <a16:creationId xmlns:a16="http://schemas.microsoft.com/office/drawing/2014/main" id="{1635586F-41CC-BF22-FB5C-B5959CAC33A3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3652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00CD50E6-0151-860F-FE48-A4B1F6C26C63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116898</xdr:rowOff>
    </xdr:from>
    <xdr:to>
      <xdr:col>14</xdr:col>
      <xdr:colOff>1</xdr:colOff>
      <xdr:row>20</xdr:row>
      <xdr:rowOff>116898</xdr:rowOff>
    </xdr:to>
    <xdr:cxnSp macro="">
      <xdr:nvCxnSpPr>
        <xdr:cNvPr id="19" name="Straight Connector 49">
          <a:extLst>
            <a:ext uri="{FF2B5EF4-FFF2-40B4-BE49-F238E27FC236}">
              <a16:creationId xmlns:a16="http://schemas.microsoft.com/office/drawing/2014/main" id="{6734010C-D0D8-120F-CDFE-6AB9A0EE5E78}"/>
            </a:ext>
          </a:extLst>
        </xdr:cNvPr>
        <xdr:cNvCxnSpPr>
          <a:cxnSpLocks/>
        </xdr:cNvCxnSpPr>
      </xdr:nvCxnSpPr>
      <xdr:spPr>
        <a:xfrm flipH="1">
          <a:off x="0" y="5166666"/>
          <a:ext cx="7388087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1</xdr:row>
      <xdr:rowOff>200025</xdr:rowOff>
    </xdr:from>
    <xdr:to>
      <xdr:col>2</xdr:col>
      <xdr:colOff>1476375</xdr:colOff>
      <xdr:row>3</xdr:row>
      <xdr:rowOff>171450</xdr:rowOff>
    </xdr:to>
    <xdr:pic>
      <xdr:nvPicPr>
        <xdr:cNvPr id="23641" name="Imagem 10">
          <a:extLst>
            <a:ext uri="{FF2B5EF4-FFF2-40B4-BE49-F238E27FC236}">
              <a16:creationId xmlns:a16="http://schemas.microsoft.com/office/drawing/2014/main" id="{6D3C91E8-8522-2404-4AEE-D9C9FD321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9575"/>
          <a:ext cx="14287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</xdr:row>
      <xdr:rowOff>66675</xdr:rowOff>
    </xdr:from>
    <xdr:to>
      <xdr:col>2</xdr:col>
      <xdr:colOff>1352550</xdr:colOff>
      <xdr:row>7</xdr:row>
      <xdr:rowOff>38100</xdr:rowOff>
    </xdr:to>
    <xdr:grpSp>
      <xdr:nvGrpSpPr>
        <xdr:cNvPr id="23642" name="Agrupar 11">
          <a:extLst>
            <a:ext uri="{FF2B5EF4-FFF2-40B4-BE49-F238E27FC236}">
              <a16:creationId xmlns:a16="http://schemas.microsoft.com/office/drawing/2014/main" id="{BD4E0234-D02F-1B20-C134-68C9735664CE}"/>
            </a:ext>
          </a:extLst>
        </xdr:cNvPr>
        <xdr:cNvGrpSpPr>
          <a:grpSpLocks/>
        </xdr:cNvGrpSpPr>
      </xdr:nvGrpSpPr>
      <xdr:grpSpPr bwMode="auto">
        <a:xfrm>
          <a:off x="551392" y="983897"/>
          <a:ext cx="1171575" cy="579967"/>
          <a:chOff x="3335767" y="5244097"/>
          <a:chExt cx="1171532" cy="517530"/>
        </a:xfrm>
      </xdr:grpSpPr>
      <xdr:sp macro="" textlink="">
        <xdr:nvSpPr>
          <xdr:cNvPr id="9" name="Subtítulo 1">
            <a:extLst>
              <a:ext uri="{FF2B5EF4-FFF2-40B4-BE49-F238E27FC236}">
                <a16:creationId xmlns:a16="http://schemas.microsoft.com/office/drawing/2014/main" id="{8C1068BB-709D-670E-6FCB-9BB538114A19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3650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418A3243-96DA-8D3F-1310-A2E39D127732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116898</xdr:rowOff>
    </xdr:from>
    <xdr:to>
      <xdr:col>14</xdr:col>
      <xdr:colOff>0</xdr:colOff>
      <xdr:row>20</xdr:row>
      <xdr:rowOff>116898</xdr:rowOff>
    </xdr:to>
    <xdr:cxnSp macro="">
      <xdr:nvCxnSpPr>
        <xdr:cNvPr id="11" name="Straight Connector 49">
          <a:extLst>
            <a:ext uri="{FF2B5EF4-FFF2-40B4-BE49-F238E27FC236}">
              <a16:creationId xmlns:a16="http://schemas.microsoft.com/office/drawing/2014/main" id="{E6BBBFAD-7C3F-D50A-411F-90803ACE6AFC}"/>
            </a:ext>
          </a:extLst>
        </xdr:cNvPr>
        <xdr:cNvCxnSpPr>
          <a:cxnSpLocks/>
        </xdr:cNvCxnSpPr>
      </xdr:nvCxnSpPr>
      <xdr:spPr>
        <a:xfrm flipH="1">
          <a:off x="7416800" y="4834948"/>
          <a:ext cx="7385050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1</xdr:row>
      <xdr:rowOff>200025</xdr:rowOff>
    </xdr:from>
    <xdr:to>
      <xdr:col>2</xdr:col>
      <xdr:colOff>1476375</xdr:colOff>
      <xdr:row>3</xdr:row>
      <xdr:rowOff>171450</xdr:rowOff>
    </xdr:to>
    <xdr:pic>
      <xdr:nvPicPr>
        <xdr:cNvPr id="23644" name="Imagem 10">
          <a:extLst>
            <a:ext uri="{FF2B5EF4-FFF2-40B4-BE49-F238E27FC236}">
              <a16:creationId xmlns:a16="http://schemas.microsoft.com/office/drawing/2014/main" id="{55EA5A92-BB0B-770C-394E-AD7AB916E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9575"/>
          <a:ext cx="14287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</xdr:row>
      <xdr:rowOff>66675</xdr:rowOff>
    </xdr:from>
    <xdr:to>
      <xdr:col>2</xdr:col>
      <xdr:colOff>1352550</xdr:colOff>
      <xdr:row>7</xdr:row>
      <xdr:rowOff>38100</xdr:rowOff>
    </xdr:to>
    <xdr:grpSp>
      <xdr:nvGrpSpPr>
        <xdr:cNvPr id="23645" name="Agrupar 11">
          <a:extLst>
            <a:ext uri="{FF2B5EF4-FFF2-40B4-BE49-F238E27FC236}">
              <a16:creationId xmlns:a16="http://schemas.microsoft.com/office/drawing/2014/main" id="{FDADF6D2-6B36-46CE-0036-A94AADC6A463}"/>
            </a:ext>
          </a:extLst>
        </xdr:cNvPr>
        <xdr:cNvGrpSpPr>
          <a:grpSpLocks/>
        </xdr:cNvGrpSpPr>
      </xdr:nvGrpSpPr>
      <xdr:grpSpPr bwMode="auto">
        <a:xfrm>
          <a:off x="551392" y="983897"/>
          <a:ext cx="1171575" cy="579967"/>
          <a:chOff x="3335767" y="5244097"/>
          <a:chExt cx="1171532" cy="517530"/>
        </a:xfrm>
      </xdr:grpSpPr>
      <xdr:sp macro="" textlink="">
        <xdr:nvSpPr>
          <xdr:cNvPr id="15" name="Subtítulo 1">
            <a:extLst>
              <a:ext uri="{FF2B5EF4-FFF2-40B4-BE49-F238E27FC236}">
                <a16:creationId xmlns:a16="http://schemas.microsoft.com/office/drawing/2014/main" id="{45F3065A-37BE-128C-6EB0-C49F3EAF504C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3648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5DF1DA2D-DAEB-4243-1F49-6AC7618339C8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</xdr:colOff>
      <xdr:row>20</xdr:row>
      <xdr:rowOff>116898</xdr:rowOff>
    </xdr:from>
    <xdr:to>
      <xdr:col>14</xdr:col>
      <xdr:colOff>0</xdr:colOff>
      <xdr:row>20</xdr:row>
      <xdr:rowOff>116898</xdr:rowOff>
    </xdr:to>
    <xdr:cxnSp macro="">
      <xdr:nvCxnSpPr>
        <xdr:cNvPr id="17" name="Straight Connector 49">
          <a:extLst>
            <a:ext uri="{FF2B5EF4-FFF2-40B4-BE49-F238E27FC236}">
              <a16:creationId xmlns:a16="http://schemas.microsoft.com/office/drawing/2014/main" id="{010B3707-3E88-0FE9-F751-079A60E78E25}"/>
            </a:ext>
          </a:extLst>
        </xdr:cNvPr>
        <xdr:cNvCxnSpPr>
          <a:cxnSpLocks/>
        </xdr:cNvCxnSpPr>
      </xdr:nvCxnSpPr>
      <xdr:spPr>
        <a:xfrm flipH="1">
          <a:off x="7416800" y="4834948"/>
          <a:ext cx="7385050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142875</xdr:rowOff>
    </xdr:to>
    <xdr:pic>
      <xdr:nvPicPr>
        <xdr:cNvPr id="22118" name="Imagem 15">
          <a:extLst>
            <a:ext uri="{FF2B5EF4-FFF2-40B4-BE49-F238E27FC236}">
              <a16:creationId xmlns:a16="http://schemas.microsoft.com/office/drawing/2014/main" id="{C00743DD-6D0F-68D3-3764-C917DBC1F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38100</xdr:rowOff>
    </xdr:from>
    <xdr:to>
      <xdr:col>3</xdr:col>
      <xdr:colOff>19050</xdr:colOff>
      <xdr:row>5</xdr:row>
      <xdr:rowOff>209550</xdr:rowOff>
    </xdr:to>
    <xdr:grpSp>
      <xdr:nvGrpSpPr>
        <xdr:cNvPr id="22119" name="Agrupar 16">
          <a:extLst>
            <a:ext uri="{FF2B5EF4-FFF2-40B4-BE49-F238E27FC236}">
              <a16:creationId xmlns:a16="http://schemas.microsoft.com/office/drawing/2014/main" id="{447EAC52-2436-F5D6-5CBD-1B6C30EA5173}"/>
            </a:ext>
          </a:extLst>
        </xdr:cNvPr>
        <xdr:cNvGrpSpPr>
          <a:grpSpLocks/>
        </xdr:cNvGrpSpPr>
      </xdr:nvGrpSpPr>
      <xdr:grpSpPr bwMode="auto">
        <a:xfrm>
          <a:off x="190500" y="659296"/>
          <a:ext cx="1170333" cy="585580"/>
          <a:chOff x="3335767" y="5244097"/>
          <a:chExt cx="1171532" cy="517530"/>
        </a:xfrm>
      </xdr:grpSpPr>
      <xdr:sp macro="" textlink="">
        <xdr:nvSpPr>
          <xdr:cNvPr id="18" name="Subtítulo 1">
            <a:extLst>
              <a:ext uri="{FF2B5EF4-FFF2-40B4-BE49-F238E27FC236}">
                <a16:creationId xmlns:a16="http://schemas.microsoft.com/office/drawing/2014/main" id="{79E5BA81-2ED3-1768-BC43-5F3233CA86A2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8514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2125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E5793D3B-813D-486C-8E86-FA77CC6A3082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142875</xdr:rowOff>
    </xdr:to>
    <xdr:pic>
      <xdr:nvPicPr>
        <xdr:cNvPr id="22120" name="Imagem 15">
          <a:extLst>
            <a:ext uri="{FF2B5EF4-FFF2-40B4-BE49-F238E27FC236}">
              <a16:creationId xmlns:a16="http://schemas.microsoft.com/office/drawing/2014/main" id="{BECDCD3E-8B49-BC9E-6C83-C3B17C49A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419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38100</xdr:rowOff>
    </xdr:from>
    <xdr:to>
      <xdr:col>3</xdr:col>
      <xdr:colOff>19050</xdr:colOff>
      <xdr:row>5</xdr:row>
      <xdr:rowOff>209550</xdr:rowOff>
    </xdr:to>
    <xdr:grpSp>
      <xdr:nvGrpSpPr>
        <xdr:cNvPr id="22121" name="Agrupar 16">
          <a:extLst>
            <a:ext uri="{FF2B5EF4-FFF2-40B4-BE49-F238E27FC236}">
              <a16:creationId xmlns:a16="http://schemas.microsoft.com/office/drawing/2014/main" id="{ACE76AD5-0029-C5D9-AB78-2C19B5CD3458}"/>
            </a:ext>
          </a:extLst>
        </xdr:cNvPr>
        <xdr:cNvGrpSpPr>
          <a:grpSpLocks/>
        </xdr:cNvGrpSpPr>
      </xdr:nvGrpSpPr>
      <xdr:grpSpPr bwMode="auto">
        <a:xfrm>
          <a:off x="190500" y="659296"/>
          <a:ext cx="1170333" cy="585580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445F91A3-0724-22ED-4D6E-46F780BE2D17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8514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2123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139A6CF8-DB5E-44AB-F87C-4F2D91BAAFAF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142875</xdr:rowOff>
    </xdr:to>
    <xdr:pic>
      <xdr:nvPicPr>
        <xdr:cNvPr id="23120" name="Imagem 5">
          <a:extLst>
            <a:ext uri="{FF2B5EF4-FFF2-40B4-BE49-F238E27FC236}">
              <a16:creationId xmlns:a16="http://schemas.microsoft.com/office/drawing/2014/main" id="{7E796928-B223-0406-5073-E341CDDA3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3335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38100</xdr:rowOff>
    </xdr:from>
    <xdr:to>
      <xdr:col>3</xdr:col>
      <xdr:colOff>19050</xdr:colOff>
      <xdr:row>5</xdr:row>
      <xdr:rowOff>190500</xdr:rowOff>
    </xdr:to>
    <xdr:grpSp>
      <xdr:nvGrpSpPr>
        <xdr:cNvPr id="23121" name="Agrupar 6">
          <a:extLst>
            <a:ext uri="{FF2B5EF4-FFF2-40B4-BE49-F238E27FC236}">
              <a16:creationId xmlns:a16="http://schemas.microsoft.com/office/drawing/2014/main" id="{B862B7BD-6410-9B2C-4D20-328944B57546}"/>
            </a:ext>
          </a:extLst>
        </xdr:cNvPr>
        <xdr:cNvGrpSpPr>
          <a:grpSpLocks/>
        </xdr:cNvGrpSpPr>
      </xdr:nvGrpSpPr>
      <xdr:grpSpPr bwMode="auto">
        <a:xfrm>
          <a:off x="190500" y="675542"/>
          <a:ext cx="1081454" cy="577362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89D47443-B5F6-5270-333E-8B08A77C512E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3127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3E26E79E-5161-8DAD-5010-B1443D42CC1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66675</xdr:colOff>
      <xdr:row>0</xdr:row>
      <xdr:rowOff>95250</xdr:rowOff>
    </xdr:from>
    <xdr:to>
      <xdr:col>3</xdr:col>
      <xdr:colOff>142875</xdr:colOff>
      <xdr:row>2</xdr:row>
      <xdr:rowOff>142875</xdr:rowOff>
    </xdr:to>
    <xdr:pic>
      <xdr:nvPicPr>
        <xdr:cNvPr id="23122" name="Imagem 5">
          <a:extLst>
            <a:ext uri="{FF2B5EF4-FFF2-40B4-BE49-F238E27FC236}">
              <a16:creationId xmlns:a16="http://schemas.microsoft.com/office/drawing/2014/main" id="{81E6E64B-6425-D4CE-ACB0-1AC8E913E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3335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3</xdr:row>
      <xdr:rowOff>38100</xdr:rowOff>
    </xdr:from>
    <xdr:to>
      <xdr:col>3</xdr:col>
      <xdr:colOff>19050</xdr:colOff>
      <xdr:row>5</xdr:row>
      <xdr:rowOff>190500</xdr:rowOff>
    </xdr:to>
    <xdr:grpSp>
      <xdr:nvGrpSpPr>
        <xdr:cNvPr id="23123" name="Agrupar 6">
          <a:extLst>
            <a:ext uri="{FF2B5EF4-FFF2-40B4-BE49-F238E27FC236}">
              <a16:creationId xmlns:a16="http://schemas.microsoft.com/office/drawing/2014/main" id="{DD5DBEAB-9976-E099-7651-AC188008D14D}"/>
            </a:ext>
          </a:extLst>
        </xdr:cNvPr>
        <xdr:cNvGrpSpPr>
          <a:grpSpLocks/>
        </xdr:cNvGrpSpPr>
      </xdr:nvGrpSpPr>
      <xdr:grpSpPr bwMode="auto">
        <a:xfrm>
          <a:off x="190500" y="675542"/>
          <a:ext cx="1081454" cy="577362"/>
          <a:chOff x="3335767" y="5244097"/>
          <a:chExt cx="1171532" cy="517530"/>
        </a:xfrm>
      </xdr:grpSpPr>
      <xdr:sp macro="" textlink="">
        <xdr:nvSpPr>
          <xdr:cNvPr id="9" name="Subtítulo 1">
            <a:extLst>
              <a:ext uri="{FF2B5EF4-FFF2-40B4-BE49-F238E27FC236}">
                <a16:creationId xmlns:a16="http://schemas.microsoft.com/office/drawing/2014/main" id="{957D77B3-5644-1013-4B41-55099066F997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12132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23125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34846D71-59DE-9872-1FC7-058D10619CAB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tabSelected="1" zoomScale="108" zoomScaleNormal="115" workbookViewId="0">
      <selection activeCell="G9" sqref="G9"/>
    </sheetView>
  </sheetViews>
  <sheetFormatPr defaultRowHeight="16.5" x14ac:dyDescent="0.3"/>
  <cols>
    <col min="1" max="1" width="3.28515625" style="4" customWidth="1"/>
    <col min="2" max="2" width="2.28515625" style="4" customWidth="1"/>
    <col min="3" max="3" width="27.140625" style="4" customWidth="1"/>
    <col min="4" max="4" width="10.7109375" style="4" customWidth="1"/>
    <col min="5" max="5" width="27" style="4" customWidth="1"/>
    <col min="6" max="6" width="10.7109375" style="4" bestFit="1" customWidth="1"/>
    <col min="7" max="7" width="29.85546875" style="4" customWidth="1"/>
    <col min="8" max="8" width="3.28515625" style="4" customWidth="1"/>
    <col min="9" max="9" width="2.28515625" style="4" customWidth="1"/>
    <col min="10" max="10" width="27.140625" style="4" customWidth="1"/>
    <col min="11" max="11" width="10.7109375" style="4" customWidth="1"/>
    <col min="12" max="12" width="27" style="4" customWidth="1"/>
    <col min="13" max="13" width="10.7109375" style="4" customWidth="1"/>
    <col min="14" max="14" width="29.85546875" style="4" customWidth="1"/>
    <col min="15" max="16384" width="9.140625" style="4"/>
  </cols>
  <sheetData>
    <row r="1" spans="1:14" x14ac:dyDescent="0.3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</row>
    <row r="2" spans="1:14" x14ac:dyDescent="0.3">
      <c r="A2" s="5"/>
      <c r="G2" s="6"/>
      <c r="H2" s="5"/>
      <c r="N2" s="6"/>
    </row>
    <row r="3" spans="1:14" ht="22.5" x14ac:dyDescent="0.4">
      <c r="A3" s="5"/>
      <c r="E3" s="7" t="s">
        <v>16</v>
      </c>
      <c r="G3" s="6"/>
      <c r="H3" s="5"/>
      <c r="J3" s="7" t="s">
        <v>47</v>
      </c>
      <c r="L3" s="7"/>
      <c r="N3" s="6"/>
    </row>
    <row r="4" spans="1:14" x14ac:dyDescent="0.3">
      <c r="A4" s="5"/>
      <c r="G4" s="6"/>
      <c r="H4" s="5"/>
      <c r="N4" s="6"/>
    </row>
    <row r="5" spans="1:14" ht="14.45" customHeight="1" x14ac:dyDescent="0.3">
      <c r="A5" s="5"/>
      <c r="E5" s="95" t="s">
        <v>21</v>
      </c>
      <c r="F5" s="95"/>
      <c r="G5" s="96"/>
      <c r="H5" s="5"/>
      <c r="L5" s="85"/>
      <c r="M5" s="85"/>
      <c r="N5" s="86"/>
    </row>
    <row r="6" spans="1:14" x14ac:dyDescent="0.3">
      <c r="A6" s="5"/>
      <c r="E6" s="95"/>
      <c r="F6" s="95"/>
      <c r="G6" s="96"/>
      <c r="H6" s="5"/>
      <c r="L6" s="85"/>
      <c r="M6" s="85"/>
      <c r="N6" s="86"/>
    </row>
    <row r="7" spans="1:14" x14ac:dyDescent="0.3">
      <c r="A7" s="5"/>
      <c r="E7" s="95"/>
      <c r="F7" s="95"/>
      <c r="G7" s="96"/>
      <c r="H7" s="5"/>
      <c r="L7" s="85"/>
      <c r="M7" s="85"/>
      <c r="N7" s="86"/>
    </row>
    <row r="8" spans="1:14" x14ac:dyDescent="0.3">
      <c r="A8" s="5"/>
      <c r="G8" s="14"/>
      <c r="H8" s="5"/>
      <c r="L8" s="62"/>
      <c r="N8" s="14"/>
    </row>
    <row r="9" spans="1:14" ht="36" customHeight="1" x14ac:dyDescent="0.3">
      <c r="A9" s="5"/>
      <c r="C9" s="63">
        <v>206122376.31</v>
      </c>
      <c r="D9" s="22"/>
      <c r="E9" s="74">
        <v>9.5000000000000001E-2</v>
      </c>
      <c r="F9" s="74"/>
      <c r="G9" s="93">
        <v>4519</v>
      </c>
      <c r="H9" s="5"/>
      <c r="J9" s="65">
        <f>((1+DRE!Q21/DRE!Q23)^12-1)</f>
        <v>0.12266160684447414</v>
      </c>
      <c r="K9" s="22"/>
      <c r="L9" s="65">
        <f>((1+AVERAGE(DRE!G21:Q21)/DRE!Q23)^12-1)</f>
        <v>0.10533813316904417</v>
      </c>
      <c r="M9" s="55"/>
      <c r="N9" s="56">
        <f>N12/(1+22.5%)</f>
        <v>1.0990354349216391</v>
      </c>
    </row>
    <row r="10" spans="1:14" x14ac:dyDescent="0.3">
      <c r="A10" s="5"/>
      <c r="C10" s="9" t="s">
        <v>17</v>
      </c>
      <c r="D10" s="10"/>
      <c r="E10" s="9" t="s">
        <v>46</v>
      </c>
      <c r="F10" s="10"/>
      <c r="G10" s="18" t="s">
        <v>18</v>
      </c>
      <c r="H10" s="5"/>
      <c r="J10" s="9" t="s">
        <v>45</v>
      </c>
      <c r="K10" s="10"/>
      <c r="L10" s="9" t="s">
        <v>101</v>
      </c>
      <c r="M10" s="10"/>
      <c r="N10" s="18" t="s">
        <v>51</v>
      </c>
    </row>
    <row r="11" spans="1:14" x14ac:dyDescent="0.3">
      <c r="A11" s="5"/>
      <c r="C11" s="10"/>
      <c r="D11" s="10"/>
      <c r="E11" s="10"/>
      <c r="F11" s="10"/>
      <c r="G11" s="19"/>
      <c r="H11" s="5"/>
      <c r="J11" s="10"/>
      <c r="K11" s="10"/>
      <c r="L11" s="10"/>
      <c r="M11" s="10"/>
      <c r="N11" s="19"/>
    </row>
    <row r="12" spans="1:14" ht="36" customHeight="1" x14ac:dyDescent="0.3">
      <c r="A12" s="5"/>
      <c r="C12" s="15">
        <f>C9/21021208</f>
        <v>9.8054486835390247</v>
      </c>
      <c r="D12" s="10"/>
      <c r="E12" s="16" t="s">
        <v>80</v>
      </c>
      <c r="F12" s="10"/>
      <c r="G12" s="70">
        <v>0.92349999999999999</v>
      </c>
      <c r="H12" s="5"/>
      <c r="J12" s="54">
        <v>9.4194495081983298E-2</v>
      </c>
      <c r="K12" s="10"/>
      <c r="L12" s="15">
        <f>AVERAGE(DRE!G21:Q21)</f>
        <v>8.2178145362876986E-2</v>
      </c>
      <c r="M12" s="10"/>
      <c r="N12" s="57">
        <v>1.346318407779008</v>
      </c>
    </row>
    <row r="13" spans="1:14" x14ac:dyDescent="0.3">
      <c r="A13" s="5"/>
      <c r="C13" s="9" t="s">
        <v>49</v>
      </c>
      <c r="D13" s="10"/>
      <c r="E13" s="9" t="s">
        <v>24</v>
      </c>
      <c r="F13" s="10"/>
      <c r="G13" s="4" t="s">
        <v>82</v>
      </c>
      <c r="H13" s="5"/>
      <c r="J13" s="9" t="s">
        <v>48</v>
      </c>
      <c r="K13" s="10"/>
      <c r="L13" s="9" t="s">
        <v>81</v>
      </c>
      <c r="M13" s="10"/>
      <c r="N13" s="18" t="s">
        <v>52</v>
      </c>
    </row>
    <row r="14" spans="1:14" x14ac:dyDescent="0.3">
      <c r="A14" s="5"/>
      <c r="C14" s="9"/>
      <c r="D14" s="10"/>
      <c r="E14" s="9"/>
      <c r="F14" s="10"/>
      <c r="G14" s="18"/>
      <c r="H14" s="5"/>
      <c r="J14" s="9"/>
      <c r="K14" s="10"/>
      <c r="L14" s="9"/>
      <c r="M14" s="10"/>
      <c r="N14" s="18"/>
    </row>
    <row r="15" spans="1:14" ht="36" x14ac:dyDescent="0.3">
      <c r="A15" s="5"/>
      <c r="C15" s="63">
        <v>206122376.31</v>
      </c>
      <c r="D15" s="10"/>
      <c r="E15" s="21" t="s">
        <v>26</v>
      </c>
      <c r="F15" s="10"/>
      <c r="G15" s="20">
        <v>45295</v>
      </c>
      <c r="H15" s="5"/>
      <c r="J15" s="70">
        <v>0.05</v>
      </c>
      <c r="K15" s="69"/>
      <c r="L15" s="81">
        <v>0.10161199215746614</v>
      </c>
      <c r="M15" s="81"/>
      <c r="N15" s="57">
        <v>0.21891920307767238</v>
      </c>
    </row>
    <row r="16" spans="1:14" x14ac:dyDescent="0.3">
      <c r="A16" s="5"/>
      <c r="C16" s="9" t="s">
        <v>22</v>
      </c>
      <c r="D16" s="10"/>
      <c r="E16" s="9" t="s">
        <v>25</v>
      </c>
      <c r="F16" s="10"/>
      <c r="G16" s="18" t="s">
        <v>19</v>
      </c>
      <c r="H16" s="5"/>
      <c r="J16" s="9" t="s">
        <v>53</v>
      </c>
      <c r="K16" s="10"/>
      <c r="L16" s="9" t="s">
        <v>55</v>
      </c>
      <c r="M16" s="10"/>
      <c r="N16" s="18" t="s">
        <v>54</v>
      </c>
    </row>
    <row r="17" spans="1:14" x14ac:dyDescent="0.3">
      <c r="A17" s="5"/>
      <c r="C17" s="9"/>
      <c r="D17" s="10"/>
      <c r="E17" s="9"/>
      <c r="F17" s="10"/>
      <c r="G17" s="18"/>
      <c r="H17" s="5"/>
      <c r="J17" s="9"/>
      <c r="K17" s="10"/>
      <c r="L17" s="9"/>
      <c r="M17" s="10"/>
      <c r="N17" s="18"/>
    </row>
    <row r="18" spans="1:14" ht="22.5" x14ac:dyDescent="0.3">
      <c r="A18" s="5"/>
      <c r="C18" s="15">
        <f>C15/21021208</f>
        <v>9.8054486835390247</v>
      </c>
      <c r="D18" s="10"/>
      <c r="E18" s="16"/>
      <c r="F18" s="10"/>
      <c r="G18" s="17"/>
      <c r="H18" s="5"/>
      <c r="J18" s="70">
        <v>9.2999999999999999E-2</v>
      </c>
      <c r="K18" s="10"/>
      <c r="L18" s="16"/>
      <c r="M18" s="10"/>
      <c r="N18" s="17"/>
    </row>
    <row r="19" spans="1:14" x14ac:dyDescent="0.3">
      <c r="A19" s="5"/>
      <c r="C19" s="9" t="s">
        <v>50</v>
      </c>
      <c r="D19" s="10"/>
      <c r="E19" s="9" t="s">
        <v>23</v>
      </c>
      <c r="F19" s="23">
        <v>45625</v>
      </c>
      <c r="G19" s="18"/>
      <c r="H19" s="5"/>
      <c r="J19" s="9" t="s">
        <v>102</v>
      </c>
      <c r="K19" s="10"/>
      <c r="L19" s="9"/>
      <c r="M19" s="23"/>
      <c r="N19" s="18"/>
    </row>
    <row r="20" spans="1:14" x14ac:dyDescent="0.3">
      <c r="A20" s="5"/>
      <c r="G20" s="14"/>
      <c r="H20" s="5"/>
      <c r="N20" s="14"/>
    </row>
    <row r="21" spans="1:14" x14ac:dyDescent="0.3">
      <c r="A21" s="5"/>
      <c r="G21" s="6"/>
      <c r="H21" s="5"/>
      <c r="N21" s="6"/>
    </row>
    <row r="22" spans="1:14" x14ac:dyDescent="0.3">
      <c r="A22" s="5"/>
      <c r="G22" s="6"/>
      <c r="H22" s="5"/>
      <c r="N22" s="6"/>
    </row>
    <row r="23" spans="1:14" x14ac:dyDescent="0.3">
      <c r="A23" s="11"/>
      <c r="B23" s="12"/>
      <c r="C23" s="12"/>
      <c r="D23" s="12"/>
      <c r="E23" s="12"/>
      <c r="F23" s="12"/>
      <c r="G23" s="13"/>
      <c r="H23" s="11"/>
      <c r="I23" s="12"/>
      <c r="J23" s="12"/>
      <c r="K23" s="12"/>
      <c r="L23" s="12"/>
      <c r="M23" s="12"/>
      <c r="N23" s="13"/>
    </row>
  </sheetData>
  <mergeCells count="1">
    <mergeCell ref="E5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B31"/>
  <sheetViews>
    <sheetView showGridLines="0" zoomScale="115" zoomScaleNormal="115" workbookViewId="0">
      <selection activeCell="A9" sqref="A9"/>
    </sheetView>
  </sheetViews>
  <sheetFormatPr defaultRowHeight="16.5" x14ac:dyDescent="0.3"/>
  <cols>
    <col min="1" max="3" width="6.7109375" style="4" customWidth="1"/>
    <col min="4" max="4" width="11.5703125" style="66" bestFit="1" customWidth="1"/>
    <col min="5" max="5" width="6.5703125" style="4" customWidth="1"/>
    <col min="6" max="6" width="18.42578125" style="4" bestFit="1" customWidth="1"/>
    <col min="7" max="7" width="12.42578125" style="4" customWidth="1"/>
    <col min="8" max="8" width="5.28515625" style="4" customWidth="1"/>
    <col min="9" max="9" width="11.5703125" style="4" customWidth="1"/>
    <col min="10" max="10" width="8.5703125" style="4" customWidth="1"/>
    <col min="11" max="11" width="9.42578125" style="4" customWidth="1"/>
    <col min="12" max="12" width="10.42578125" style="4" customWidth="1"/>
    <col min="13" max="13" width="9.5703125" style="30" customWidth="1"/>
    <col min="14" max="14" width="9.28515625" style="30" customWidth="1"/>
    <col min="15" max="15" width="10.42578125" style="4" bestFit="1" customWidth="1"/>
    <col min="16" max="16" width="8.140625" style="4" bestFit="1" customWidth="1"/>
    <col min="17" max="17" width="12.42578125" style="4" bestFit="1" customWidth="1"/>
    <col min="18" max="18" width="5.7109375" style="62" bestFit="1" customWidth="1"/>
    <col min="19" max="19" width="22.5703125" style="4" bestFit="1" customWidth="1"/>
    <col min="20" max="20" width="15.140625" style="4" bestFit="1" customWidth="1"/>
    <col min="21" max="21" width="17.85546875" style="4" bestFit="1" customWidth="1"/>
    <col min="22" max="22" width="4.7109375" style="4" bestFit="1" customWidth="1"/>
    <col min="23" max="23" width="20" style="4" bestFit="1" customWidth="1"/>
    <col min="24" max="24" width="13.7109375" style="4" bestFit="1" customWidth="1"/>
    <col min="25" max="25" width="11.5703125" style="4" bestFit="1" customWidth="1"/>
    <col min="26" max="26" width="24.5703125" style="4" bestFit="1" customWidth="1"/>
    <col min="27" max="27" width="21" style="4" bestFit="1" customWidth="1"/>
    <col min="28" max="28" width="11.42578125" style="4" bestFit="1" customWidth="1"/>
    <col min="29" max="16384" width="9.140625" style="4"/>
  </cols>
  <sheetData>
    <row r="1" spans="3:28" x14ac:dyDescent="0.3">
      <c r="S1" s="62"/>
      <c r="W1" s="46"/>
      <c r="X1" s="61"/>
    </row>
    <row r="2" spans="3:28" x14ac:dyDescent="0.3">
      <c r="S2" s="62"/>
      <c r="W2" s="46"/>
      <c r="X2" s="61"/>
    </row>
    <row r="3" spans="3:28" x14ac:dyDescent="0.3">
      <c r="S3" s="62"/>
      <c r="W3" s="46"/>
    </row>
    <row r="5" spans="3:28" x14ac:dyDescent="0.3">
      <c r="O5" s="87"/>
      <c r="P5" s="88"/>
    </row>
    <row r="6" spans="3:28" ht="17.25" thickBot="1" x14ac:dyDescent="0.35"/>
    <row r="7" spans="3:28" x14ac:dyDescent="0.3">
      <c r="E7" s="34" t="s">
        <v>1</v>
      </c>
      <c r="F7" s="35" t="s">
        <v>64</v>
      </c>
      <c r="G7" s="35" t="s">
        <v>65</v>
      </c>
      <c r="H7" s="35" t="s">
        <v>67</v>
      </c>
      <c r="I7" s="35" t="s">
        <v>68</v>
      </c>
      <c r="J7" s="35" t="s">
        <v>69</v>
      </c>
      <c r="K7" s="35" t="s">
        <v>100</v>
      </c>
      <c r="L7" s="35" t="s">
        <v>70</v>
      </c>
      <c r="M7" s="35" t="s">
        <v>71</v>
      </c>
      <c r="N7" s="35" t="s">
        <v>72</v>
      </c>
      <c r="O7" s="35" t="s">
        <v>73</v>
      </c>
      <c r="P7" s="35" t="s">
        <v>0</v>
      </c>
      <c r="Q7" s="35" t="s">
        <v>1</v>
      </c>
      <c r="R7" s="71" t="s">
        <v>20</v>
      </c>
      <c r="S7" s="35" t="s">
        <v>28</v>
      </c>
      <c r="T7" s="35" t="s">
        <v>29</v>
      </c>
      <c r="U7" s="35" t="s">
        <v>27</v>
      </c>
      <c r="V7" s="35" t="s">
        <v>56</v>
      </c>
      <c r="W7" s="35" t="s">
        <v>58</v>
      </c>
      <c r="X7" s="35" t="s">
        <v>74</v>
      </c>
      <c r="Y7" s="35" t="s">
        <v>75</v>
      </c>
      <c r="Z7" s="35" t="s">
        <v>120</v>
      </c>
      <c r="AA7" s="35" t="s">
        <v>136</v>
      </c>
    </row>
    <row r="8" spans="3:28" x14ac:dyDescent="0.3">
      <c r="C8" s="77"/>
      <c r="D8" s="77"/>
      <c r="E8" s="36" t="s">
        <v>78</v>
      </c>
      <c r="F8" s="36" t="s">
        <v>103</v>
      </c>
      <c r="G8" s="25" t="s">
        <v>104</v>
      </c>
      <c r="H8" s="24" t="s">
        <v>3</v>
      </c>
      <c r="I8" s="29">
        <v>9.11E-2</v>
      </c>
      <c r="J8" s="29">
        <v>9.2075553573265356E-2</v>
      </c>
      <c r="K8" s="30">
        <v>20500</v>
      </c>
      <c r="L8" s="30">
        <v>20500000</v>
      </c>
      <c r="M8" s="30">
        <v>20687632.668754999</v>
      </c>
      <c r="N8" s="30">
        <v>20476962.82037</v>
      </c>
      <c r="O8" s="32">
        <f t="shared" ref="O8:O24" si="0">N8/SUM($N:$N)</f>
        <v>9.9235988962985439E-2</v>
      </c>
      <c r="P8" s="75" t="s">
        <v>6</v>
      </c>
      <c r="Q8" s="28" t="s">
        <v>6</v>
      </c>
      <c r="R8" s="29">
        <v>0.61</v>
      </c>
      <c r="S8" s="28" t="s">
        <v>4</v>
      </c>
      <c r="T8" s="59">
        <v>7.63</v>
      </c>
      <c r="U8" s="31">
        <v>14305</v>
      </c>
      <c r="V8" s="38" t="s">
        <v>15</v>
      </c>
      <c r="W8" s="64">
        <v>1.9</v>
      </c>
      <c r="X8" s="25" t="s">
        <v>105</v>
      </c>
      <c r="Y8" s="25" t="s">
        <v>60</v>
      </c>
      <c r="Z8" s="25" t="s">
        <v>15</v>
      </c>
      <c r="AA8" s="25" t="s">
        <v>15</v>
      </c>
    </row>
    <row r="9" spans="3:28" x14ac:dyDescent="0.3">
      <c r="C9" s="77"/>
      <c r="D9" s="77"/>
      <c r="E9" s="36" t="s">
        <v>78</v>
      </c>
      <c r="F9" s="36" t="s">
        <v>91</v>
      </c>
      <c r="G9" s="25" t="s">
        <v>79</v>
      </c>
      <c r="H9" s="24" t="s">
        <v>3</v>
      </c>
      <c r="I9" s="29">
        <v>0.1007</v>
      </c>
      <c r="J9" s="29">
        <v>0.1070101566992101</v>
      </c>
      <c r="K9" s="30">
        <v>21692020</v>
      </c>
      <c r="L9" s="30">
        <v>21999981.60794</v>
      </c>
      <c r="M9" s="30">
        <v>21382896.350548603</v>
      </c>
      <c r="N9" s="30">
        <v>20175726.109980002</v>
      </c>
      <c r="O9" s="32">
        <f t="shared" si="0"/>
        <v>9.7776127794620638E-2</v>
      </c>
      <c r="P9" s="28" t="s">
        <v>2</v>
      </c>
      <c r="Q9" s="28" t="s">
        <v>5</v>
      </c>
      <c r="R9" s="29">
        <v>0.64530683154788249</v>
      </c>
      <c r="S9" s="28" t="s">
        <v>96</v>
      </c>
      <c r="T9" s="59">
        <v>5.1100000000000003</v>
      </c>
      <c r="U9" s="31">
        <v>49202</v>
      </c>
      <c r="V9" s="36" t="s">
        <v>30</v>
      </c>
      <c r="W9" s="64">
        <v>0.1875</v>
      </c>
      <c r="X9" s="25" t="s">
        <v>66</v>
      </c>
      <c r="Y9" s="25" t="s">
        <v>60</v>
      </c>
      <c r="Z9" s="25" t="s">
        <v>15</v>
      </c>
      <c r="AA9" s="25" t="s">
        <v>137</v>
      </c>
      <c r="AB9" s="61"/>
    </row>
    <row r="10" spans="3:28" x14ac:dyDescent="0.3">
      <c r="C10" s="77"/>
      <c r="D10" s="77"/>
      <c r="E10" s="36" t="s">
        <v>78</v>
      </c>
      <c r="F10" s="36" t="s">
        <v>83</v>
      </c>
      <c r="G10" s="25" t="s">
        <v>85</v>
      </c>
      <c r="H10" s="24" t="s">
        <v>3</v>
      </c>
      <c r="I10" s="29">
        <v>9.5000000000000001E-2</v>
      </c>
      <c r="J10" s="29">
        <v>9.577155935461068E-2</v>
      </c>
      <c r="K10" s="30">
        <v>24250</v>
      </c>
      <c r="L10" s="30">
        <v>24250000</v>
      </c>
      <c r="M10" s="30">
        <v>19097859.315987501</v>
      </c>
      <c r="N10" s="30">
        <v>18950219.681499999</v>
      </c>
      <c r="O10" s="32">
        <f t="shared" si="0"/>
        <v>9.1837046717141213E-2</v>
      </c>
      <c r="P10" s="24" t="s">
        <v>2</v>
      </c>
      <c r="Q10" s="28" t="s">
        <v>98</v>
      </c>
      <c r="R10" s="29">
        <v>0.34154929577464788</v>
      </c>
      <c r="S10" s="28" t="s">
        <v>4</v>
      </c>
      <c r="T10" s="59">
        <v>4</v>
      </c>
      <c r="U10" s="31">
        <v>49232</v>
      </c>
      <c r="V10" s="36" t="s">
        <v>15</v>
      </c>
      <c r="W10" s="64">
        <v>0.34677400232768196</v>
      </c>
      <c r="X10" s="25" t="s">
        <v>66</v>
      </c>
      <c r="Y10" s="25" t="s">
        <v>61</v>
      </c>
      <c r="Z10" s="25" t="s">
        <v>15</v>
      </c>
      <c r="AA10" s="25" t="s">
        <v>15</v>
      </c>
    </row>
    <row r="11" spans="3:28" x14ac:dyDescent="0.3">
      <c r="C11" s="77"/>
      <c r="D11" s="77"/>
      <c r="E11" s="36" t="s">
        <v>78</v>
      </c>
      <c r="F11" s="36" t="s">
        <v>89</v>
      </c>
      <c r="G11" s="25" t="s">
        <v>84</v>
      </c>
      <c r="H11" s="24" t="s">
        <v>3</v>
      </c>
      <c r="I11" s="29">
        <v>9.7000000000000003E-2</v>
      </c>
      <c r="J11" s="29">
        <v>9.8098814518789101E-2</v>
      </c>
      <c r="K11" s="30">
        <v>20400</v>
      </c>
      <c r="L11" s="30">
        <v>20336749.859976001</v>
      </c>
      <c r="M11" s="30">
        <v>17750356.791395999</v>
      </c>
      <c r="N11" s="30">
        <v>17559724.2588</v>
      </c>
      <c r="O11" s="32">
        <f t="shared" si="0"/>
        <v>8.5098391691461689E-2</v>
      </c>
      <c r="P11" s="24" t="s">
        <v>2</v>
      </c>
      <c r="Q11" s="28" t="s">
        <v>5</v>
      </c>
      <c r="R11" s="29">
        <v>0.32</v>
      </c>
      <c r="S11" s="28" t="s">
        <v>94</v>
      </c>
      <c r="T11" s="59">
        <v>4.3</v>
      </c>
      <c r="U11" s="31">
        <v>48601</v>
      </c>
      <c r="V11" s="36" t="s">
        <v>15</v>
      </c>
      <c r="W11" s="64">
        <v>0.33</v>
      </c>
      <c r="X11" s="25" t="s">
        <v>66</v>
      </c>
      <c r="Y11" s="25" t="s">
        <v>63</v>
      </c>
      <c r="Z11" s="25" t="s">
        <v>123</v>
      </c>
      <c r="AA11" s="25" t="s">
        <v>137</v>
      </c>
      <c r="AB11" s="61"/>
    </row>
    <row r="12" spans="3:28" x14ac:dyDescent="0.3">
      <c r="C12" s="77"/>
      <c r="D12" s="77"/>
      <c r="E12" s="36" t="s">
        <v>78</v>
      </c>
      <c r="F12" s="36" t="s">
        <v>99</v>
      </c>
      <c r="G12" s="25" t="s">
        <v>86</v>
      </c>
      <c r="H12" s="24" t="s">
        <v>87</v>
      </c>
      <c r="I12" s="29">
        <v>9.2999999999999999E-2</v>
      </c>
      <c r="J12" s="29">
        <v>9.5048242399275562E-2</v>
      </c>
      <c r="K12" s="30">
        <v>21236</v>
      </c>
      <c r="L12" s="30">
        <v>21464140.089989081</v>
      </c>
      <c r="M12" s="30">
        <v>17764581.021698199</v>
      </c>
      <c r="N12" s="30">
        <v>17396926.932859998</v>
      </c>
      <c r="O12" s="32">
        <f t="shared" si="0"/>
        <v>8.4309439062993055E-2</v>
      </c>
      <c r="P12" s="28" t="s">
        <v>5</v>
      </c>
      <c r="Q12" s="28" t="s">
        <v>5</v>
      </c>
      <c r="R12" s="29">
        <v>0.40373238038514991</v>
      </c>
      <c r="S12" s="28" t="s">
        <v>95</v>
      </c>
      <c r="T12" s="59">
        <v>4.0999999999999996</v>
      </c>
      <c r="U12" s="31">
        <v>49232</v>
      </c>
      <c r="V12" s="36" t="s">
        <v>30</v>
      </c>
      <c r="W12" s="64">
        <v>0.31</v>
      </c>
      <c r="X12" s="25" t="s">
        <v>88</v>
      </c>
      <c r="Y12" s="25" t="s">
        <v>60</v>
      </c>
      <c r="Z12" s="25" t="s">
        <v>124</v>
      </c>
      <c r="AA12" s="25" t="s">
        <v>138</v>
      </c>
      <c r="AB12" s="61"/>
    </row>
    <row r="13" spans="3:28" x14ac:dyDescent="0.3">
      <c r="C13" s="77"/>
      <c r="D13" s="77"/>
      <c r="E13" s="36" t="s">
        <v>78</v>
      </c>
      <c r="F13" s="36" t="s">
        <v>90</v>
      </c>
      <c r="G13" s="25" t="s">
        <v>12</v>
      </c>
      <c r="H13" s="24" t="s">
        <v>3</v>
      </c>
      <c r="I13" s="29">
        <v>0.109</v>
      </c>
      <c r="J13" s="29">
        <v>0.10757086431941154</v>
      </c>
      <c r="K13" s="30">
        <v>20455</v>
      </c>
      <c r="L13" s="30">
        <v>20459483.270013601</v>
      </c>
      <c r="M13" s="30">
        <v>14801492.27303675</v>
      </c>
      <c r="N13" s="30">
        <v>14989111.877155</v>
      </c>
      <c r="O13" s="32">
        <f t="shared" si="0"/>
        <v>7.2640623214230676E-2</v>
      </c>
      <c r="P13" s="28" t="s">
        <v>2</v>
      </c>
      <c r="Q13" s="28" t="s">
        <v>97</v>
      </c>
      <c r="R13" s="29">
        <v>0.33</v>
      </c>
      <c r="S13" s="28" t="s">
        <v>4</v>
      </c>
      <c r="T13" s="59">
        <v>3</v>
      </c>
      <c r="U13" s="31">
        <v>45962</v>
      </c>
      <c r="V13" s="36" t="s">
        <v>57</v>
      </c>
      <c r="W13" s="64" t="s">
        <v>15</v>
      </c>
      <c r="X13" s="25" t="s">
        <v>66</v>
      </c>
      <c r="Y13" s="25" t="s">
        <v>61</v>
      </c>
      <c r="Z13" s="25" t="s">
        <v>125</v>
      </c>
      <c r="AA13" s="25" t="s">
        <v>15</v>
      </c>
    </row>
    <row r="14" spans="3:28" x14ac:dyDescent="0.3">
      <c r="C14" s="77"/>
      <c r="D14" s="77"/>
      <c r="E14" s="36" t="s">
        <v>78</v>
      </c>
      <c r="F14" s="36" t="s">
        <v>106</v>
      </c>
      <c r="G14" s="25" t="s">
        <v>108</v>
      </c>
      <c r="H14" s="24" t="s">
        <v>3</v>
      </c>
      <c r="I14" s="29">
        <v>9.8000000000000004E-2</v>
      </c>
      <c r="J14" s="29">
        <v>9.9541886127381352E-2</v>
      </c>
      <c r="K14" s="30">
        <v>17307</v>
      </c>
      <c r="L14" s="30">
        <v>14500609.970000001</v>
      </c>
      <c r="M14" s="30">
        <v>13678991.494376039</v>
      </c>
      <c r="N14" s="30">
        <v>13475918.170557002</v>
      </c>
      <c r="O14" s="32">
        <f t="shared" si="0"/>
        <v>6.5307344578912796E-2</v>
      </c>
      <c r="P14" s="75" t="s">
        <v>6</v>
      </c>
      <c r="Q14" s="28" t="s">
        <v>114</v>
      </c>
      <c r="R14" s="29">
        <v>0.5</v>
      </c>
      <c r="S14" s="28" t="s">
        <v>4</v>
      </c>
      <c r="T14" s="59">
        <v>3</v>
      </c>
      <c r="U14" s="31">
        <v>47352</v>
      </c>
      <c r="V14" s="38" t="s">
        <v>57</v>
      </c>
      <c r="W14" s="64" t="s">
        <v>15</v>
      </c>
      <c r="X14" s="25" t="s">
        <v>66</v>
      </c>
      <c r="Y14" s="25" t="s">
        <v>61</v>
      </c>
      <c r="Z14" s="25" t="s">
        <v>15</v>
      </c>
      <c r="AA14" s="25" t="s">
        <v>15</v>
      </c>
    </row>
    <row r="15" spans="3:28" x14ac:dyDescent="0.3">
      <c r="C15" s="77"/>
      <c r="D15" s="77"/>
      <c r="E15" s="36" t="s">
        <v>78</v>
      </c>
      <c r="F15" s="36" t="s">
        <v>118</v>
      </c>
      <c r="G15" s="25" t="s">
        <v>119</v>
      </c>
      <c r="H15" s="24" t="s">
        <v>3</v>
      </c>
      <c r="I15" s="29">
        <v>0.11</v>
      </c>
      <c r="J15" s="29">
        <v>0.11327075496131722</v>
      </c>
      <c r="K15" s="30">
        <v>10629</v>
      </c>
      <c r="L15" s="30">
        <v>10641854.130000001</v>
      </c>
      <c r="M15" s="30">
        <v>10700070.51822201</v>
      </c>
      <c r="N15" s="30">
        <v>10405390.594941</v>
      </c>
      <c r="O15" s="32">
        <f t="shared" si="0"/>
        <v>5.0426874106931627E-2</v>
      </c>
      <c r="P15" s="28" t="s">
        <v>2</v>
      </c>
      <c r="Q15" s="28" t="s">
        <v>97</v>
      </c>
      <c r="R15" s="29">
        <v>0.38</v>
      </c>
      <c r="S15" s="28" t="s">
        <v>4</v>
      </c>
      <c r="T15" s="59">
        <v>3</v>
      </c>
      <c r="U15" s="31">
        <v>46646</v>
      </c>
      <c r="V15" s="36" t="s">
        <v>57</v>
      </c>
      <c r="W15" s="64" t="s">
        <v>15</v>
      </c>
      <c r="X15" s="25" t="s">
        <v>66</v>
      </c>
      <c r="Y15" s="25" t="s">
        <v>61</v>
      </c>
      <c r="Z15" s="25" t="s">
        <v>126</v>
      </c>
      <c r="AA15" s="25" t="s">
        <v>15</v>
      </c>
    </row>
    <row r="16" spans="3:28" x14ac:dyDescent="0.3">
      <c r="C16" s="77"/>
      <c r="D16" s="77"/>
      <c r="E16" s="36" t="s">
        <v>78</v>
      </c>
      <c r="F16" s="36" t="s">
        <v>9</v>
      </c>
      <c r="G16" s="25" t="s">
        <v>13</v>
      </c>
      <c r="H16" s="24" t="s">
        <v>3</v>
      </c>
      <c r="I16" s="29">
        <v>0.11</v>
      </c>
      <c r="J16" s="29">
        <v>0.10437949067364527</v>
      </c>
      <c r="K16" s="30">
        <v>7096</v>
      </c>
      <c r="L16" s="30">
        <v>6954577.7123256791</v>
      </c>
      <c r="M16" s="30">
        <v>6988669.3933870401</v>
      </c>
      <c r="N16" s="30">
        <v>7347557.1311840005</v>
      </c>
      <c r="O16" s="32">
        <f t="shared" si="0"/>
        <v>3.5607922169480478E-2</v>
      </c>
      <c r="P16" s="28" t="s">
        <v>6</v>
      </c>
      <c r="Q16" s="28" t="s">
        <v>97</v>
      </c>
      <c r="R16" s="29">
        <v>0.77011494252873569</v>
      </c>
      <c r="S16" s="28" t="s">
        <v>4</v>
      </c>
      <c r="T16" s="59">
        <v>3.1</v>
      </c>
      <c r="U16" s="31">
        <v>48871</v>
      </c>
      <c r="V16" s="36" t="s">
        <v>15</v>
      </c>
      <c r="W16" s="64" t="s">
        <v>15</v>
      </c>
      <c r="X16" s="25" t="s">
        <v>66</v>
      </c>
      <c r="Y16" s="25" t="s">
        <v>60</v>
      </c>
      <c r="Z16" s="25" t="s">
        <v>127</v>
      </c>
      <c r="AA16" s="25" t="s">
        <v>15</v>
      </c>
    </row>
    <row r="17" spans="3:27" x14ac:dyDescent="0.3">
      <c r="C17" s="77"/>
      <c r="D17" s="77"/>
      <c r="E17" s="36" t="s">
        <v>78</v>
      </c>
      <c r="F17" s="36" t="s">
        <v>142</v>
      </c>
      <c r="G17" s="25" t="s">
        <v>121</v>
      </c>
      <c r="H17" s="24" t="s">
        <v>3</v>
      </c>
      <c r="I17" s="29">
        <v>9.8000000000000004E-2</v>
      </c>
      <c r="J17" s="29">
        <v>9.9955440133300044E-2</v>
      </c>
      <c r="K17" s="30">
        <v>7435</v>
      </c>
      <c r="L17" s="30">
        <v>7435000</v>
      </c>
      <c r="M17" s="30">
        <v>7451591.8697169004</v>
      </c>
      <c r="N17" s="30">
        <v>7311877.5970350001</v>
      </c>
      <c r="O17" s="32">
        <f t="shared" si="0"/>
        <v>3.543501108456644E-2</v>
      </c>
      <c r="P17" s="28" t="s">
        <v>2</v>
      </c>
      <c r="Q17" s="28" t="s">
        <v>97</v>
      </c>
      <c r="R17" s="29">
        <v>0.53</v>
      </c>
      <c r="S17" s="28" t="s">
        <v>4</v>
      </c>
      <c r="T17" s="59">
        <v>4</v>
      </c>
      <c r="U17" s="31">
        <v>46593</v>
      </c>
      <c r="V17" s="29" t="s">
        <v>15</v>
      </c>
      <c r="W17" s="29" t="s">
        <v>15</v>
      </c>
      <c r="X17" s="25" t="s">
        <v>66</v>
      </c>
      <c r="Y17" s="25" t="s">
        <v>61</v>
      </c>
      <c r="Z17" s="25" t="s">
        <v>129</v>
      </c>
      <c r="AA17" s="25" t="s">
        <v>15</v>
      </c>
    </row>
    <row r="18" spans="3:27" x14ac:dyDescent="0.3">
      <c r="C18" s="77"/>
      <c r="D18" s="77"/>
      <c r="E18" s="36" t="s">
        <v>78</v>
      </c>
      <c r="F18" s="36" t="s">
        <v>112</v>
      </c>
      <c r="G18" s="25" t="s">
        <v>110</v>
      </c>
      <c r="H18" s="24" t="s">
        <v>7</v>
      </c>
      <c r="I18" s="29">
        <v>0.16</v>
      </c>
      <c r="J18" s="29">
        <v>0.16007468870320851</v>
      </c>
      <c r="K18" s="30">
        <v>6000</v>
      </c>
      <c r="L18" s="30">
        <v>6000000</v>
      </c>
      <c r="M18" s="30">
        <v>6539599.156560001</v>
      </c>
      <c r="N18" s="30">
        <v>6536745.9299999997</v>
      </c>
      <c r="O18" s="32">
        <f t="shared" si="0"/>
        <v>3.1678547871270633E-2</v>
      </c>
      <c r="P18" s="75" t="s">
        <v>2</v>
      </c>
      <c r="Q18" s="28" t="s">
        <v>115</v>
      </c>
      <c r="R18" s="76" t="s">
        <v>15</v>
      </c>
      <c r="S18" s="28" t="s">
        <v>93</v>
      </c>
      <c r="T18" s="29" t="s">
        <v>15</v>
      </c>
      <c r="U18" s="31">
        <v>47224</v>
      </c>
      <c r="V18" s="29" t="s">
        <v>15</v>
      </c>
      <c r="W18" s="29" t="s">
        <v>15</v>
      </c>
      <c r="X18" s="25" t="s">
        <v>66</v>
      </c>
      <c r="Y18" s="25" t="s">
        <v>116</v>
      </c>
      <c r="Z18" s="25" t="s">
        <v>15</v>
      </c>
      <c r="AA18" s="25" t="s">
        <v>15</v>
      </c>
    </row>
    <row r="19" spans="3:27" x14ac:dyDescent="0.3">
      <c r="C19" s="77"/>
      <c r="D19" s="77"/>
      <c r="E19" s="36" t="s">
        <v>78</v>
      </c>
      <c r="F19" s="36" t="s">
        <v>77</v>
      </c>
      <c r="G19" s="25" t="s">
        <v>76</v>
      </c>
      <c r="H19" s="24" t="s">
        <v>3</v>
      </c>
      <c r="I19" s="29">
        <v>0.12</v>
      </c>
      <c r="J19" s="29">
        <v>0.11894962326935477</v>
      </c>
      <c r="K19" s="30">
        <v>8609</v>
      </c>
      <c r="L19" s="30">
        <v>8636237.58000114</v>
      </c>
      <c r="M19" s="30">
        <v>6280548.1444034297</v>
      </c>
      <c r="N19" s="30">
        <v>6333228.446796</v>
      </c>
      <c r="O19" s="32">
        <f t="shared" si="0"/>
        <v>3.0692256159253851E-2</v>
      </c>
      <c r="P19" s="24" t="s">
        <v>6</v>
      </c>
      <c r="Q19" s="24" t="s">
        <v>97</v>
      </c>
      <c r="R19" s="25">
        <v>0.75</v>
      </c>
      <c r="S19" s="24" t="s">
        <v>4</v>
      </c>
      <c r="T19" s="58">
        <v>2.1833333333333331</v>
      </c>
      <c r="U19" s="27">
        <v>46997</v>
      </c>
      <c r="V19" s="36" t="s">
        <v>30</v>
      </c>
      <c r="W19" s="64">
        <v>0.25</v>
      </c>
      <c r="X19" s="25" t="s">
        <v>66</v>
      </c>
      <c r="Y19" s="25" t="s">
        <v>61</v>
      </c>
      <c r="Z19" s="25" t="s">
        <v>130</v>
      </c>
      <c r="AA19" s="25" t="s">
        <v>15</v>
      </c>
    </row>
    <row r="20" spans="3:27" x14ac:dyDescent="0.3">
      <c r="C20" s="77"/>
      <c r="D20" s="77"/>
      <c r="E20" s="36" t="s">
        <v>78</v>
      </c>
      <c r="F20" s="36" t="s">
        <v>141</v>
      </c>
      <c r="G20" s="25" t="s">
        <v>140</v>
      </c>
      <c r="H20" s="24" t="s">
        <v>3</v>
      </c>
      <c r="I20" s="29">
        <v>9.5699999999999993E-2</v>
      </c>
      <c r="J20" s="29">
        <v>0.10049309196980927</v>
      </c>
      <c r="K20" s="30">
        <v>5201550</v>
      </c>
      <c r="L20" s="30">
        <v>5000000.3405999998</v>
      </c>
      <c r="M20" s="30">
        <v>5146557.4448730005</v>
      </c>
      <c r="N20" s="30">
        <v>4911069.44025</v>
      </c>
      <c r="O20" s="32">
        <f t="shared" si="0"/>
        <v>2.3800152251304326E-2</v>
      </c>
      <c r="P20" s="75" t="s">
        <v>2</v>
      </c>
      <c r="Q20" s="28" t="s">
        <v>5</v>
      </c>
      <c r="R20" s="29">
        <v>0.63270000000000004</v>
      </c>
      <c r="S20" s="28" t="s">
        <v>96</v>
      </c>
      <c r="T20" s="89">
        <v>3.5</v>
      </c>
      <c r="U20" s="90">
        <v>12128</v>
      </c>
      <c r="V20" s="29" t="s">
        <v>30</v>
      </c>
      <c r="W20" s="91">
        <v>0.1825</v>
      </c>
      <c r="X20" s="25" t="s">
        <v>105</v>
      </c>
      <c r="Y20" s="25" t="s">
        <v>60</v>
      </c>
      <c r="Z20" s="25" t="s">
        <v>15</v>
      </c>
      <c r="AA20" s="25" t="s">
        <v>137</v>
      </c>
    </row>
    <row r="21" spans="3:27" x14ac:dyDescent="0.3">
      <c r="C21" s="77"/>
      <c r="D21" s="77"/>
      <c r="E21" s="36" t="s">
        <v>78</v>
      </c>
      <c r="F21" s="36" t="s">
        <v>131</v>
      </c>
      <c r="G21" s="25" t="s">
        <v>132</v>
      </c>
      <c r="H21" s="24" t="s">
        <v>3</v>
      </c>
      <c r="I21" s="29">
        <v>0.109</v>
      </c>
      <c r="J21" s="29">
        <v>0.11170044623621189</v>
      </c>
      <c r="K21" s="30">
        <v>4513</v>
      </c>
      <c r="L21" s="30">
        <v>4513000</v>
      </c>
      <c r="M21" s="30">
        <v>4531025.4081403604</v>
      </c>
      <c r="N21" s="30">
        <v>4426508.9055859996</v>
      </c>
      <c r="O21" s="32">
        <f t="shared" si="0"/>
        <v>2.1451862405215415E-2</v>
      </c>
      <c r="P21" s="28" t="s">
        <v>2</v>
      </c>
      <c r="Q21" s="28" t="s">
        <v>97</v>
      </c>
      <c r="R21" s="29">
        <v>0.57073170731707312</v>
      </c>
      <c r="S21" s="28" t="s">
        <v>4</v>
      </c>
      <c r="T21" s="59">
        <v>3</v>
      </c>
      <c r="U21" s="31">
        <v>46590</v>
      </c>
      <c r="V21" s="36" t="s">
        <v>15</v>
      </c>
      <c r="W21" s="64" t="s">
        <v>15</v>
      </c>
      <c r="X21" s="25" t="s">
        <v>134</v>
      </c>
      <c r="Y21" s="25" t="s">
        <v>133</v>
      </c>
      <c r="Z21" s="25" t="s">
        <v>135</v>
      </c>
      <c r="AA21" s="25" t="s">
        <v>15</v>
      </c>
    </row>
    <row r="22" spans="3:27" x14ac:dyDescent="0.3">
      <c r="C22" s="77"/>
      <c r="D22" s="77"/>
      <c r="E22" s="36" t="s">
        <v>78</v>
      </c>
      <c r="F22" s="36" t="s">
        <v>113</v>
      </c>
      <c r="G22" s="25" t="s">
        <v>111</v>
      </c>
      <c r="H22" s="24" t="s">
        <v>7</v>
      </c>
      <c r="I22" s="29">
        <v>0.16</v>
      </c>
      <c r="J22" s="29">
        <v>0.16007468870320851</v>
      </c>
      <c r="K22" s="30">
        <v>4000</v>
      </c>
      <c r="L22" s="30">
        <v>4000000</v>
      </c>
      <c r="M22" s="30">
        <v>4359732.77104</v>
      </c>
      <c r="N22" s="30">
        <v>4357830.62</v>
      </c>
      <c r="O22" s="32">
        <f t="shared" si="0"/>
        <v>2.1119031914180422E-2</v>
      </c>
      <c r="P22" s="75" t="s">
        <v>2</v>
      </c>
      <c r="Q22" s="28" t="s">
        <v>115</v>
      </c>
      <c r="R22" s="76" t="s">
        <v>15</v>
      </c>
      <c r="S22" s="28" t="s">
        <v>93</v>
      </c>
      <c r="T22" s="29" t="s">
        <v>15</v>
      </c>
      <c r="U22" s="31">
        <v>47224</v>
      </c>
      <c r="V22" s="29" t="s">
        <v>15</v>
      </c>
      <c r="W22" s="29" t="s">
        <v>15</v>
      </c>
      <c r="X22" s="25" t="s">
        <v>66</v>
      </c>
      <c r="Y22" s="25" t="s">
        <v>116</v>
      </c>
      <c r="Z22" s="25" t="s">
        <v>15</v>
      </c>
      <c r="AA22" s="25" t="s">
        <v>15</v>
      </c>
    </row>
    <row r="23" spans="3:27" x14ac:dyDescent="0.3">
      <c r="C23" s="77"/>
      <c r="D23" s="77"/>
      <c r="E23" s="36" t="s">
        <v>78</v>
      </c>
      <c r="F23" s="36" t="s">
        <v>10</v>
      </c>
      <c r="G23" s="25" t="s">
        <v>14</v>
      </c>
      <c r="H23" s="24" t="s">
        <v>59</v>
      </c>
      <c r="I23" s="29">
        <v>0.05</v>
      </c>
      <c r="J23" s="29">
        <v>4.946772552408274E-2</v>
      </c>
      <c r="K23" s="30">
        <v>4000</v>
      </c>
      <c r="L23" s="30">
        <v>4000000</v>
      </c>
      <c r="M23" s="30">
        <v>3975698.2337600002</v>
      </c>
      <c r="N23" s="30">
        <v>4017534.9160000002</v>
      </c>
      <c r="O23" s="32">
        <f t="shared" si="0"/>
        <v>1.9469882036704349E-2</v>
      </c>
      <c r="P23" s="28" t="s">
        <v>2</v>
      </c>
      <c r="Q23" s="28" t="s">
        <v>97</v>
      </c>
      <c r="R23" s="29">
        <v>0.44679999999999997</v>
      </c>
      <c r="S23" s="28" t="s">
        <v>4</v>
      </c>
      <c r="T23" s="59">
        <v>2.4</v>
      </c>
      <c r="U23" s="31">
        <v>46071</v>
      </c>
      <c r="V23" s="36" t="s">
        <v>15</v>
      </c>
      <c r="W23" s="64" t="s">
        <v>15</v>
      </c>
      <c r="X23" s="25" t="s">
        <v>66</v>
      </c>
      <c r="Y23" s="25" t="s">
        <v>62</v>
      </c>
      <c r="Z23" s="25" t="s">
        <v>128</v>
      </c>
      <c r="AA23" s="25" t="s">
        <v>15</v>
      </c>
    </row>
    <row r="24" spans="3:27" x14ac:dyDescent="0.3">
      <c r="C24" s="77"/>
      <c r="D24" s="77"/>
      <c r="E24" s="36" t="s">
        <v>78</v>
      </c>
      <c r="F24" s="36" t="s">
        <v>107</v>
      </c>
      <c r="G24" s="25" t="s">
        <v>109</v>
      </c>
      <c r="H24" s="24" t="s">
        <v>7</v>
      </c>
      <c r="I24" s="29">
        <v>0.16</v>
      </c>
      <c r="J24" s="29">
        <v>0.16007468659900437</v>
      </c>
      <c r="K24" s="30">
        <v>2500</v>
      </c>
      <c r="L24" s="30">
        <v>2500000</v>
      </c>
      <c r="M24" s="30">
        <v>2576903.3410499999</v>
      </c>
      <c r="N24" s="30">
        <v>2575779.0699999998</v>
      </c>
      <c r="O24" s="32">
        <f t="shared" si="0"/>
        <v>1.2482807416504859E-2</v>
      </c>
      <c r="P24" s="75" t="s">
        <v>2</v>
      </c>
      <c r="Q24" s="28" t="s">
        <v>115</v>
      </c>
      <c r="R24" s="76" t="s">
        <v>15</v>
      </c>
      <c r="S24" s="28" t="s">
        <v>93</v>
      </c>
      <c r="T24" s="29" t="s">
        <v>15</v>
      </c>
      <c r="U24" s="31">
        <v>47224</v>
      </c>
      <c r="V24" s="29" t="s">
        <v>15</v>
      </c>
      <c r="W24" s="29" t="s">
        <v>15</v>
      </c>
      <c r="X24" s="25" t="s">
        <v>66</v>
      </c>
      <c r="Y24" s="25" t="s">
        <v>116</v>
      </c>
      <c r="Z24" s="25" t="s">
        <v>15</v>
      </c>
      <c r="AA24" s="25" t="s">
        <v>15</v>
      </c>
    </row>
    <row r="26" spans="3:27" x14ac:dyDescent="0.3">
      <c r="E26" s="36"/>
      <c r="F26" s="36"/>
      <c r="G26" s="25"/>
      <c r="H26" s="24"/>
      <c r="I26" s="29"/>
      <c r="J26" s="29"/>
      <c r="K26" s="30"/>
      <c r="L26" s="30"/>
      <c r="O26" s="32"/>
      <c r="P26" s="75"/>
      <c r="Q26" s="28"/>
      <c r="R26" s="29"/>
      <c r="S26" s="28"/>
      <c r="T26" s="59"/>
      <c r="U26" s="31"/>
      <c r="V26" s="38"/>
      <c r="W26" s="64"/>
      <c r="X26" s="25"/>
      <c r="Y26" s="25"/>
      <c r="Z26" s="25"/>
    </row>
    <row r="27" spans="3:27" x14ac:dyDescent="0.3">
      <c r="C27" s="77"/>
      <c r="D27" s="77"/>
      <c r="E27" s="36" t="s">
        <v>92</v>
      </c>
      <c r="F27" s="36" t="s">
        <v>117</v>
      </c>
      <c r="G27" s="25" t="s">
        <v>15</v>
      </c>
      <c r="H27" s="24" t="s">
        <v>7</v>
      </c>
      <c r="I27" s="29">
        <v>0.3994094929817591</v>
      </c>
      <c r="J27" s="29">
        <v>0.3994094929817591</v>
      </c>
      <c r="K27" s="26">
        <v>1</v>
      </c>
      <c r="L27" s="30">
        <v>990970.35</v>
      </c>
      <c r="M27" s="30">
        <v>4391685.2300000004</v>
      </c>
      <c r="N27" s="30">
        <v>4391685.2300000004</v>
      </c>
      <c r="O27" s="32">
        <f>N27/SUM($N:$N)</f>
        <v>2.1283099004294204E-2</v>
      </c>
      <c r="P27" s="28" t="s">
        <v>2</v>
      </c>
      <c r="Q27" s="28" t="s">
        <v>8</v>
      </c>
      <c r="R27" s="29" t="s">
        <v>15</v>
      </c>
      <c r="S27" s="28" t="s">
        <v>93</v>
      </c>
      <c r="T27" s="29" t="s">
        <v>15</v>
      </c>
      <c r="U27" s="31">
        <v>46844</v>
      </c>
      <c r="V27" s="29" t="s">
        <v>15</v>
      </c>
      <c r="W27" s="29" t="s">
        <v>15</v>
      </c>
      <c r="X27" s="25" t="s">
        <v>15</v>
      </c>
      <c r="Y27" s="29" t="s">
        <v>15</v>
      </c>
      <c r="Z27" s="29" t="s">
        <v>15</v>
      </c>
      <c r="AA27" s="29" t="s">
        <v>15</v>
      </c>
    </row>
    <row r="28" spans="3:27" x14ac:dyDescent="0.3">
      <c r="C28" s="77"/>
      <c r="D28" s="77"/>
      <c r="E28" s="36" t="s">
        <v>11</v>
      </c>
      <c r="F28" s="38" t="s">
        <v>122</v>
      </c>
      <c r="G28" s="25" t="s">
        <v>15</v>
      </c>
      <c r="H28" s="24" t="s">
        <v>11</v>
      </c>
      <c r="I28" s="25" t="s">
        <v>15</v>
      </c>
      <c r="J28" s="25" t="s">
        <v>15</v>
      </c>
      <c r="K28" s="26">
        <v>1</v>
      </c>
      <c r="L28" s="33">
        <v>15790565.119999999</v>
      </c>
      <c r="M28" s="30">
        <v>15790565.119999999</v>
      </c>
      <c r="N28" s="30">
        <v>15790565.119999999</v>
      </c>
      <c r="O28" s="32">
        <f>N28/SUM($N:$N)</f>
        <v>7.6524646731731899E-2</v>
      </c>
      <c r="P28" s="28" t="s">
        <v>11</v>
      </c>
      <c r="Q28" s="38" t="s">
        <v>15</v>
      </c>
      <c r="R28" s="29" t="s">
        <v>15</v>
      </c>
      <c r="S28" s="38" t="s">
        <v>15</v>
      </c>
      <c r="T28" s="60" t="s">
        <v>15</v>
      </c>
      <c r="U28" s="38" t="s">
        <v>15</v>
      </c>
      <c r="V28" s="38" t="s">
        <v>15</v>
      </c>
      <c r="W28" s="28" t="s">
        <v>15</v>
      </c>
      <c r="X28" s="38" t="s">
        <v>15</v>
      </c>
      <c r="Y28" s="38" t="s">
        <v>15</v>
      </c>
      <c r="Z28" s="38" t="s">
        <v>15</v>
      </c>
      <c r="AA28" s="38" t="s">
        <v>15</v>
      </c>
    </row>
    <row r="29" spans="3:27" x14ac:dyDescent="0.3">
      <c r="C29" s="77"/>
      <c r="D29" s="77"/>
      <c r="E29" s="36" t="s">
        <v>144</v>
      </c>
      <c r="F29" s="36" t="s">
        <v>145</v>
      </c>
      <c r="G29" s="25" t="s">
        <v>15</v>
      </c>
      <c r="H29" s="24" t="s">
        <v>3</v>
      </c>
      <c r="I29" s="29">
        <v>0.12912491507635515</v>
      </c>
      <c r="J29" s="29">
        <v>0.12912491507635515</v>
      </c>
      <c r="K29" s="30">
        <v>4995732.8885119995</v>
      </c>
      <c r="L29" s="30">
        <v>552334</v>
      </c>
      <c r="M29" s="30">
        <v>4915772.5999999996</v>
      </c>
      <c r="N29" s="30">
        <v>4915772.5999999996</v>
      </c>
      <c r="O29" s="32">
        <f>N29/SUM($N:$N)</f>
        <v>2.3822944826215772E-2</v>
      </c>
      <c r="P29" s="75" t="s">
        <v>146</v>
      </c>
      <c r="Q29" s="28" t="s">
        <v>147</v>
      </c>
      <c r="R29" s="76" t="s">
        <v>15</v>
      </c>
      <c r="S29" s="28" t="s">
        <v>15</v>
      </c>
      <c r="T29" s="29" t="s">
        <v>15</v>
      </c>
      <c r="U29" s="31" t="s">
        <v>15</v>
      </c>
      <c r="V29" s="29" t="s">
        <v>15</v>
      </c>
      <c r="W29" s="29" t="s">
        <v>15</v>
      </c>
      <c r="X29" s="25" t="s">
        <v>15</v>
      </c>
      <c r="Y29" s="25" t="s">
        <v>15</v>
      </c>
      <c r="Z29" s="25" t="s">
        <v>15</v>
      </c>
      <c r="AA29" s="25" t="s">
        <v>15</v>
      </c>
    </row>
    <row r="30" spans="3:27" x14ac:dyDescent="0.3">
      <c r="E30" s="78" t="s">
        <v>143</v>
      </c>
      <c r="H30"/>
      <c r="I30" s="62"/>
      <c r="L30" s="30"/>
      <c r="O30" s="82"/>
    </row>
    <row r="31" spans="3:27" x14ac:dyDescent="0.3">
      <c r="H31"/>
      <c r="L31" s="83"/>
      <c r="N31" s="83"/>
      <c r="O31" s="84"/>
    </row>
  </sheetData>
  <sheetCalcPr fullCalcOnLoad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U33"/>
  <sheetViews>
    <sheetView showGridLines="0" topLeftCell="F1" zoomScale="130" zoomScaleNormal="130" workbookViewId="0">
      <selection activeCell="T10" sqref="T10"/>
    </sheetView>
  </sheetViews>
  <sheetFormatPr defaultRowHeight="16.5" x14ac:dyDescent="0.3"/>
  <cols>
    <col min="1" max="1" width="6.7109375" style="4" customWidth="1"/>
    <col min="2" max="2" width="5.42578125" style="4" customWidth="1"/>
    <col min="3" max="3" width="6.7109375" style="4" customWidth="1"/>
    <col min="4" max="4" width="2.140625" style="4" customWidth="1"/>
    <col min="5" max="5" width="1.42578125" style="4" customWidth="1"/>
    <col min="6" max="6" width="26.7109375" style="4" bestFit="1" customWidth="1"/>
    <col min="7" max="17" width="14" style="4" customWidth="1"/>
    <col min="18" max="18" width="2" style="4" customWidth="1"/>
    <col min="19" max="19" width="11.28515625" style="4" customWidth="1"/>
    <col min="20" max="20" width="9.28515625" style="4" bestFit="1" customWidth="1"/>
    <col min="21" max="16384" width="9.140625" style="4"/>
  </cols>
  <sheetData>
    <row r="8" spans="6:21" s="8" customFormat="1" x14ac:dyDescent="0.3">
      <c r="F8" s="39" t="s">
        <v>31</v>
      </c>
      <c r="G8" s="40">
        <v>45292</v>
      </c>
      <c r="H8" s="72">
        <f t="shared" ref="H8:Q8" si="0">EDATE(G8,1)</f>
        <v>45323</v>
      </c>
      <c r="I8" s="72">
        <f t="shared" si="0"/>
        <v>45352</v>
      </c>
      <c r="J8" s="72">
        <f t="shared" si="0"/>
        <v>45383</v>
      </c>
      <c r="K8" s="72">
        <f t="shared" si="0"/>
        <v>45413</v>
      </c>
      <c r="L8" s="72">
        <f t="shared" si="0"/>
        <v>45444</v>
      </c>
      <c r="M8" s="72">
        <f t="shared" si="0"/>
        <v>45474</v>
      </c>
      <c r="N8" s="72">
        <f t="shared" si="0"/>
        <v>45505</v>
      </c>
      <c r="O8" s="72">
        <f t="shared" si="0"/>
        <v>45536</v>
      </c>
      <c r="P8" s="72">
        <f t="shared" si="0"/>
        <v>45566</v>
      </c>
      <c r="Q8" s="72">
        <f t="shared" si="0"/>
        <v>45597</v>
      </c>
      <c r="R8" s="4"/>
      <c r="S8" s="40" t="s">
        <v>43</v>
      </c>
      <c r="T8" s="40" t="s">
        <v>32</v>
      </c>
    </row>
    <row r="9" spans="6:21" x14ac:dyDescent="0.3">
      <c r="F9" s="41" t="s">
        <v>33</v>
      </c>
      <c r="G9" s="42">
        <v>971378.65000002831</v>
      </c>
      <c r="H9" s="42">
        <v>570571.97000002861</v>
      </c>
      <c r="I9" s="42">
        <v>606285.69999999553</v>
      </c>
      <c r="J9" s="42">
        <v>512117.90000000596</v>
      </c>
      <c r="K9" s="42">
        <v>249266.91000000387</v>
      </c>
      <c r="L9" s="42">
        <v>153013.62999999896</v>
      </c>
      <c r="M9" s="42">
        <v>158747.73000000045</v>
      </c>
      <c r="N9" s="42">
        <v>136575.27999999933</v>
      </c>
      <c r="O9" s="42">
        <v>93816.879999998957</v>
      </c>
      <c r="P9" s="42">
        <v>89710.719999998808</v>
      </c>
      <c r="Q9" s="42">
        <v>103112.91000000015</v>
      </c>
      <c r="S9" s="42">
        <f>SUM(G9:Q9)</f>
        <v>3644598.2800000589</v>
      </c>
      <c r="T9" s="42">
        <f>SUM(L9:Q9)</f>
        <v>734977.14999999665</v>
      </c>
      <c r="U9" s="61"/>
    </row>
    <row r="10" spans="6:21" x14ac:dyDescent="0.3">
      <c r="F10" s="41" t="s">
        <v>34</v>
      </c>
      <c r="G10" s="42">
        <v>40888.790080000064</v>
      </c>
      <c r="H10" s="42">
        <v>1238091.9521987396</v>
      </c>
      <c r="I10" s="42">
        <v>1468936.0424781642</v>
      </c>
      <c r="J10" s="42">
        <v>1714468.7327987014</v>
      </c>
      <c r="K10" s="42">
        <v>1484398.8855116235</v>
      </c>
      <c r="L10" s="42">
        <v>2086706.7179435091</v>
      </c>
      <c r="M10" s="42">
        <v>1995143.5324496718</v>
      </c>
      <c r="N10" s="42">
        <v>1956615.1825502305</v>
      </c>
      <c r="O10" s="42">
        <v>2207497.1882872181</v>
      </c>
      <c r="P10" s="42">
        <v>1585285.4871381198</v>
      </c>
      <c r="Q10" s="42">
        <v>2140037.456579546</v>
      </c>
      <c r="S10" s="42">
        <f>SUM(G10:Q10)</f>
        <v>17918069.968015525</v>
      </c>
      <c r="T10" s="42">
        <f>SUM(L10:Q10)</f>
        <v>11971285.564948294</v>
      </c>
      <c r="U10" s="61"/>
    </row>
    <row r="11" spans="6:21" x14ac:dyDescent="0.3">
      <c r="F11" s="41" t="s">
        <v>35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125000</v>
      </c>
      <c r="M11" s="43">
        <v>0</v>
      </c>
      <c r="N11" s="43">
        <v>125031.66</v>
      </c>
      <c r="O11" s="43">
        <v>41482.939999999478</v>
      </c>
      <c r="P11" s="43">
        <v>103670.16999999993</v>
      </c>
      <c r="Q11" s="43">
        <v>23567.709999999031</v>
      </c>
      <c r="S11" s="42">
        <f>SUM(G11:Q11)</f>
        <v>418752.47999999847</v>
      </c>
      <c r="T11" s="42">
        <f>SUM(L11:Q11)</f>
        <v>418752.47999999847</v>
      </c>
      <c r="U11" s="61"/>
    </row>
    <row r="12" spans="6:21" x14ac:dyDescent="0.3">
      <c r="F12" s="41" t="s">
        <v>36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3031.4</v>
      </c>
      <c r="S12" s="42">
        <f>SUM(G12:Q12)</f>
        <v>3031.4</v>
      </c>
      <c r="T12" s="42">
        <f>SUM(L12:Q12)</f>
        <v>3031.4</v>
      </c>
      <c r="U12" s="61"/>
    </row>
    <row r="13" spans="6:21" x14ac:dyDescent="0.3">
      <c r="F13" s="47" t="s">
        <v>37</v>
      </c>
      <c r="G13" s="48">
        <f t="shared" ref="G13:Q13" si="1">SUM(G9:G12)</f>
        <v>1012267.4400800284</v>
      </c>
      <c r="H13" s="48">
        <f t="shared" si="1"/>
        <v>1808663.9221987682</v>
      </c>
      <c r="I13" s="48">
        <f t="shared" si="1"/>
        <v>2075221.7424781597</v>
      </c>
      <c r="J13" s="48">
        <f t="shared" si="1"/>
        <v>2226586.6327987071</v>
      </c>
      <c r="K13" s="48">
        <f t="shared" si="1"/>
        <v>1733665.7955116273</v>
      </c>
      <c r="L13" s="48">
        <f t="shared" si="1"/>
        <v>2364720.3479435081</v>
      </c>
      <c r="M13" s="48">
        <f t="shared" si="1"/>
        <v>2153891.2624496724</v>
      </c>
      <c r="N13" s="48">
        <f t="shared" si="1"/>
        <v>2218222.12255023</v>
      </c>
      <c r="O13" s="48">
        <f t="shared" si="1"/>
        <v>2342797.0082872165</v>
      </c>
      <c r="P13" s="48">
        <f t="shared" si="1"/>
        <v>1778666.3771381185</v>
      </c>
      <c r="Q13" s="48">
        <f t="shared" si="1"/>
        <v>2269749.4765795451</v>
      </c>
      <c r="S13" s="80">
        <f>SUM(G13:Q13)</f>
        <v>21984452.128015585</v>
      </c>
      <c r="T13" s="80">
        <f>SUM(L13:Q13)</f>
        <v>13128046.59494829</v>
      </c>
      <c r="U13" s="61"/>
    </row>
    <row r="14" spans="6:21" ht="9.75" customHeight="1" x14ac:dyDescent="0.3">
      <c r="S14" s="42"/>
      <c r="T14" s="42"/>
    </row>
    <row r="15" spans="6:21" x14ac:dyDescent="0.3">
      <c r="F15" s="41" t="s">
        <v>38</v>
      </c>
      <c r="G15" s="44">
        <v>-9888.89</v>
      </c>
      <c r="H15" s="44">
        <v>-231983.99904766399</v>
      </c>
      <c r="I15" s="44">
        <v>-207281.59000000003</v>
      </c>
      <c r="J15" s="44">
        <v>-217172.61000000002</v>
      </c>
      <c r="K15" s="44">
        <v>-271817.36</v>
      </c>
      <c r="L15" s="44">
        <v>-220601.58</v>
      </c>
      <c r="M15" s="44">
        <v>-215131.64</v>
      </c>
      <c r="N15" s="44">
        <v>-268699.78000000003</v>
      </c>
      <c r="O15" s="44">
        <v>-240360.39999999997</v>
      </c>
      <c r="P15" s="44">
        <v>-229944.98000000004</v>
      </c>
      <c r="Q15" s="44">
        <v>-245832.61000000002</v>
      </c>
      <c r="S15" s="42">
        <f>SUM(G15:Q15)</f>
        <v>-2358715.4390476639</v>
      </c>
      <c r="T15" s="42">
        <f>SUM(L15:Q15)</f>
        <v>-1420570.99</v>
      </c>
      <c r="U15" s="61"/>
    </row>
    <row r="16" spans="6:21" x14ac:dyDescent="0.3">
      <c r="F16" s="49" t="s">
        <v>39</v>
      </c>
      <c r="G16" s="50">
        <f t="shared" ref="G16:Q16" si="2">G15</f>
        <v>-9888.89</v>
      </c>
      <c r="H16" s="50">
        <f t="shared" si="2"/>
        <v>-231983.99904766399</v>
      </c>
      <c r="I16" s="50">
        <f t="shared" si="2"/>
        <v>-207281.59000000003</v>
      </c>
      <c r="J16" s="50">
        <f t="shared" si="2"/>
        <v>-217172.61000000002</v>
      </c>
      <c r="K16" s="50">
        <f t="shared" si="2"/>
        <v>-271817.36</v>
      </c>
      <c r="L16" s="50">
        <f t="shared" si="2"/>
        <v>-220601.58</v>
      </c>
      <c r="M16" s="50">
        <f t="shared" si="2"/>
        <v>-215131.64</v>
      </c>
      <c r="N16" s="50">
        <f t="shared" si="2"/>
        <v>-268699.78000000003</v>
      </c>
      <c r="O16" s="50">
        <f t="shared" si="2"/>
        <v>-240360.39999999997</v>
      </c>
      <c r="P16" s="50">
        <f t="shared" si="2"/>
        <v>-229944.98000000004</v>
      </c>
      <c r="Q16" s="50">
        <f t="shared" si="2"/>
        <v>-245832.61000000002</v>
      </c>
      <c r="S16" s="80">
        <f>SUM(G16:Q16)</f>
        <v>-2358715.4390476639</v>
      </c>
      <c r="T16" s="80">
        <f>SUM(L16:Q16)</f>
        <v>-1420570.99</v>
      </c>
      <c r="U16" s="61"/>
    </row>
    <row r="17" spans="6:21" x14ac:dyDescent="0.3">
      <c r="F17" s="49" t="s">
        <v>40</v>
      </c>
      <c r="G17" s="50">
        <f t="shared" ref="G17:M17" si="3">SUM(G16,G13)</f>
        <v>1002378.5500800284</v>
      </c>
      <c r="H17" s="50">
        <f t="shared" si="3"/>
        <v>1576679.9231511042</v>
      </c>
      <c r="I17" s="50">
        <f t="shared" si="3"/>
        <v>1867940.1524781596</v>
      </c>
      <c r="J17" s="50">
        <f t="shared" si="3"/>
        <v>2009414.022798707</v>
      </c>
      <c r="K17" s="50">
        <f t="shared" si="3"/>
        <v>1461848.4355116272</v>
      </c>
      <c r="L17" s="50">
        <f t="shared" si="3"/>
        <v>2144118.767943508</v>
      </c>
      <c r="M17" s="50">
        <f t="shared" si="3"/>
        <v>1938759.6224496723</v>
      </c>
      <c r="N17" s="50">
        <f>SUM(N13,N16)</f>
        <v>1949522.34255023</v>
      </c>
      <c r="O17" s="50">
        <f>SUM(O13,O16)</f>
        <v>2102436.6082872166</v>
      </c>
      <c r="P17" s="50">
        <f>SUM(P13,P16)</f>
        <v>1548721.3971381185</v>
      </c>
      <c r="Q17" s="50">
        <f>SUM(Q13,Q16)</f>
        <v>2023916.866579545</v>
      </c>
      <c r="S17" s="80">
        <f>SUM(G17:Q17)</f>
        <v>19625736.688967913</v>
      </c>
      <c r="T17" s="80">
        <f>SUM(L17:Q17)</f>
        <v>11707475.604948292</v>
      </c>
      <c r="U17" s="61"/>
    </row>
    <row r="18" spans="6:21" ht="9.75" customHeight="1" x14ac:dyDescent="0.3">
      <c r="S18" s="42"/>
      <c r="T18" s="42"/>
    </row>
    <row r="19" spans="6:21" x14ac:dyDescent="0.3">
      <c r="F19" s="49" t="s">
        <v>41</v>
      </c>
      <c r="G19" s="48">
        <v>966130.08</v>
      </c>
      <c r="H19" s="48">
        <v>1576590.5999999999</v>
      </c>
      <c r="I19" s="48">
        <v>1807823.13</v>
      </c>
      <c r="J19" s="48">
        <v>1807823.13</v>
      </c>
      <c r="K19" s="48">
        <v>1807823.13</v>
      </c>
      <c r="L19" s="48">
        <v>1807823.13</v>
      </c>
      <c r="M19" s="48">
        <v>1807823.13</v>
      </c>
      <c r="N19" s="48">
        <v>1807823.8879999998</v>
      </c>
      <c r="O19" s="48">
        <v>1807823.8879999998</v>
      </c>
      <c r="P19" s="48">
        <v>1807823.8879999998</v>
      </c>
      <c r="Q19" s="48">
        <v>1997014.76</v>
      </c>
      <c r="S19" s="80">
        <f>SUM(G19:Q19)</f>
        <v>19002322.754000001</v>
      </c>
      <c r="T19" s="80">
        <f>SUM(L19:Q19)</f>
        <v>11036132.684</v>
      </c>
      <c r="U19" s="61"/>
    </row>
    <row r="20" spans="6:21" x14ac:dyDescent="0.3">
      <c r="F20" s="51" t="s">
        <v>42</v>
      </c>
      <c r="G20" s="52">
        <v>21021208</v>
      </c>
      <c r="H20" s="52">
        <v>21021208</v>
      </c>
      <c r="I20" s="52">
        <v>21021208</v>
      </c>
      <c r="J20" s="52">
        <v>21021208</v>
      </c>
      <c r="K20" s="52">
        <v>21021208</v>
      </c>
      <c r="L20" s="52">
        <v>21021208</v>
      </c>
      <c r="M20" s="52">
        <v>21021208</v>
      </c>
      <c r="N20" s="52">
        <v>21021208</v>
      </c>
      <c r="O20" s="52">
        <v>21021208</v>
      </c>
      <c r="P20" s="52">
        <v>21021208</v>
      </c>
      <c r="Q20" s="52">
        <v>21021208</v>
      </c>
      <c r="S20" s="52">
        <v>21021208</v>
      </c>
      <c r="T20" s="52">
        <v>21021208</v>
      </c>
    </row>
    <row r="21" spans="6:21" x14ac:dyDescent="0.3">
      <c r="F21" s="45" t="s">
        <v>139</v>
      </c>
      <c r="G21" s="73">
        <f t="shared" ref="G21:Q21" si="4">G19/G20</f>
        <v>4.5959779285757507E-2</v>
      </c>
      <c r="H21" s="73">
        <f t="shared" si="4"/>
        <v>7.4999999999999997E-2</v>
      </c>
      <c r="I21" s="73">
        <f t="shared" si="4"/>
        <v>8.599996394117787E-2</v>
      </c>
      <c r="J21" s="73">
        <f t="shared" si="4"/>
        <v>8.599996394117787E-2</v>
      </c>
      <c r="K21" s="73">
        <f t="shared" si="4"/>
        <v>8.599996394117787E-2</v>
      </c>
      <c r="L21" s="73">
        <f t="shared" si="4"/>
        <v>8.599996394117787E-2</v>
      </c>
      <c r="M21" s="73">
        <f t="shared" si="4"/>
        <v>8.599996394117787E-2</v>
      </c>
      <c r="N21" s="73">
        <f t="shared" si="4"/>
        <v>8.5999999999999993E-2</v>
      </c>
      <c r="O21" s="73">
        <f t="shared" si="4"/>
        <v>8.5999999999999993E-2</v>
      </c>
      <c r="P21" s="73">
        <f t="shared" si="4"/>
        <v>8.5999999999999993E-2</v>
      </c>
      <c r="Q21" s="73">
        <f t="shared" si="4"/>
        <v>9.5000000000000001E-2</v>
      </c>
      <c r="S21" s="73">
        <f>AVERAGE($G$21:$Q$21)</f>
        <v>8.2178145362876986E-2</v>
      </c>
      <c r="T21" s="73">
        <f>AVERAGE($K$21:$Q$21)</f>
        <v>8.7285698831933364E-2</v>
      </c>
    </row>
    <row r="23" spans="6:21" s="37" customFormat="1" x14ac:dyDescent="0.3">
      <c r="F23" s="49" t="s">
        <v>44</v>
      </c>
      <c r="G23" s="53">
        <f>209449739.44/G20</f>
        <v>9.9637346930775816</v>
      </c>
      <c r="H23" s="53">
        <v>9.9109945579721206</v>
      </c>
      <c r="I23" s="53">
        <v>9.8356521233223138</v>
      </c>
      <c r="J23" s="53">
        <v>9.6880027908006046</v>
      </c>
      <c r="K23" s="53">
        <v>9.6441522176080454</v>
      </c>
      <c r="L23" s="53">
        <v>9.86</v>
      </c>
      <c r="M23" s="53">
        <v>9.9477290125286792</v>
      </c>
      <c r="N23" s="53">
        <v>9.9551319399999993</v>
      </c>
      <c r="O23" s="53">
        <v>9.9019579899999997</v>
      </c>
      <c r="P23" s="53">
        <v>9.8608864809291639</v>
      </c>
      <c r="Q23" s="53">
        <v>9.8054486835390247</v>
      </c>
      <c r="S23" s="79"/>
      <c r="T23" s="4"/>
    </row>
    <row r="24" spans="6:21" x14ac:dyDescent="0.3">
      <c r="S24" s="79"/>
    </row>
    <row r="25" spans="6:21" x14ac:dyDescent="0.3"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S25" s="46"/>
    </row>
    <row r="26" spans="6:21" x14ac:dyDescent="0.3"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S26" s="61"/>
      <c r="T26" s="61"/>
    </row>
    <row r="27" spans="6:21" x14ac:dyDescent="0.3">
      <c r="G27" s="67"/>
      <c r="H27" s="67"/>
      <c r="I27" s="67"/>
      <c r="J27" s="67"/>
      <c r="K27" s="67"/>
      <c r="L27" s="67"/>
      <c r="M27" s="67"/>
      <c r="N27" s="67"/>
      <c r="Q27" s="68"/>
      <c r="S27" s="61"/>
      <c r="T27" s="61"/>
    </row>
    <row r="28" spans="6:21" x14ac:dyDescent="0.3">
      <c r="O28" s="92"/>
      <c r="P28" s="92"/>
      <c r="Q28" s="94"/>
    </row>
    <row r="29" spans="6:21" x14ac:dyDescent="0.3">
      <c r="G29" s="68"/>
      <c r="H29" s="68"/>
      <c r="I29" s="68"/>
      <c r="J29" s="68"/>
      <c r="K29" s="68"/>
      <c r="L29" s="68"/>
      <c r="M29" s="68"/>
      <c r="N29" s="68"/>
    </row>
    <row r="30" spans="6:21" x14ac:dyDescent="0.3">
      <c r="G30" s="68"/>
      <c r="H30" s="68"/>
      <c r="I30" s="68"/>
      <c r="J30" s="68"/>
      <c r="K30" s="68"/>
      <c r="L30" s="68"/>
      <c r="M30" s="68"/>
      <c r="N30" s="68"/>
    </row>
    <row r="32" spans="6:21" x14ac:dyDescent="0.3">
      <c r="G32" s="61"/>
      <c r="H32" s="61"/>
      <c r="I32" s="61"/>
      <c r="J32" s="61"/>
      <c r="K32" s="61"/>
      <c r="L32" s="61"/>
      <c r="M32" s="61"/>
      <c r="N32" s="61"/>
    </row>
    <row r="33" spans="7:14" x14ac:dyDescent="0.3">
      <c r="G33" s="61"/>
      <c r="H33" s="61"/>
      <c r="I33" s="61"/>
      <c r="J33" s="61"/>
      <c r="K33" s="61"/>
      <c r="L33" s="61"/>
      <c r="M33" s="61"/>
      <c r="N33" s="61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T9:T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Detalhamento de operações</vt:lpstr>
      <vt:lpstr>DRE</vt:lpstr>
    </vt:vector>
  </TitlesOfParts>
  <Company>Cyrela Brazil Realty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 Viana Silva</dc:creator>
  <cp:lastModifiedBy>Caio Viana Silva</cp:lastModifiedBy>
  <cp:lastPrinted>2024-06-14T17:26:38Z</cp:lastPrinted>
  <dcterms:created xsi:type="dcterms:W3CDTF">2023-10-11T17:28:22Z</dcterms:created>
  <dcterms:modified xsi:type="dcterms:W3CDTF">2024-12-13T20:55:39Z</dcterms:modified>
</cp:coreProperties>
</file>