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8526"/>
  <workbookPr/>
  <xr:revisionPtr revIDLastSave="0" documentId="8_{201865DE-66AA-4E9C-9B58-2B37778AE2E3}" xr6:coauthVersionLast="47" xr6:coauthVersionMax="47" xr10:uidLastSave="{00000000-0000-0000-0000-000000000000}"/>
  <bookViews>
    <workbookView xWindow="-110" yWindow="-110" windowWidth="19420" windowHeight="11020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operações'!$A$7:$AB$24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C12" i="2"/>
  <c r="C18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7" i="3"/>
  <c r="O28" i="3"/>
  <c r="O29" i="3"/>
  <c r="O30" i="3"/>
  <c r="O31" i="3"/>
  <c r="O32" i="3"/>
  <c r="O33" i="3"/>
  <c r="H8" i="4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V9" i="4"/>
  <c r="W9" i="4"/>
  <c r="X9" i="4"/>
  <c r="V10" i="4"/>
  <c r="W10" i="4"/>
  <c r="X10" i="4"/>
  <c r="V11" i="4"/>
  <c r="W11" i="4"/>
  <c r="X11" i="4"/>
  <c r="V12" i="4"/>
  <c r="W12" i="4"/>
  <c r="X12" i="4"/>
  <c r="G13" i="4"/>
  <c r="G17" i="4" s="1"/>
  <c r="H13" i="4"/>
  <c r="I13" i="4"/>
  <c r="J13" i="4"/>
  <c r="K13" i="4"/>
  <c r="L13" i="4"/>
  <c r="L17" i="4" s="1"/>
  <c r="M13" i="4"/>
  <c r="M17" i="4" s="1"/>
  <c r="N13" i="4"/>
  <c r="N17" i="4" s="1"/>
  <c r="O13" i="4"/>
  <c r="O17" i="4" s="1"/>
  <c r="P13" i="4"/>
  <c r="Q13" i="4"/>
  <c r="R13" i="4"/>
  <c r="S13" i="4"/>
  <c r="S17" i="4" s="1"/>
  <c r="T13" i="4"/>
  <c r="T17" i="4" s="1"/>
  <c r="X13" i="4"/>
  <c r="V15" i="4"/>
  <c r="W15" i="4"/>
  <c r="X15" i="4"/>
  <c r="G16" i="4"/>
  <c r="V16" i="4" s="1"/>
  <c r="H16" i="4"/>
  <c r="W16" i="4" s="1"/>
  <c r="I16" i="4"/>
  <c r="J16" i="4"/>
  <c r="K16" i="4"/>
  <c r="K17" i="4" s="1"/>
  <c r="L16" i="4"/>
  <c r="M16" i="4"/>
  <c r="N16" i="4"/>
  <c r="O16" i="4"/>
  <c r="P16" i="4"/>
  <c r="X16" i="4" s="1"/>
  <c r="Q16" i="4"/>
  <c r="R16" i="4"/>
  <c r="S16" i="4"/>
  <c r="T16" i="4"/>
  <c r="H17" i="4"/>
  <c r="I17" i="4"/>
  <c r="J17" i="4"/>
  <c r="P17" i="4"/>
  <c r="Q17" i="4"/>
  <c r="R17" i="4"/>
  <c r="V19" i="4"/>
  <c r="W19" i="4"/>
  <c r="X19" i="4"/>
  <c r="W20" i="4"/>
  <c r="G21" i="4"/>
  <c r="H21" i="4"/>
  <c r="W21" i="4" s="1"/>
  <c r="I21" i="4"/>
  <c r="J21" i="4"/>
  <c r="L12" i="2" s="1"/>
  <c r="K21" i="4"/>
  <c r="L21" i="4"/>
  <c r="M21" i="4"/>
  <c r="N21" i="4"/>
  <c r="O21" i="4"/>
  <c r="P21" i="4"/>
  <c r="X21" i="4" s="1"/>
  <c r="Q21" i="4"/>
  <c r="R21" i="4"/>
  <c r="S21" i="4"/>
  <c r="T21" i="4"/>
  <c r="J9" i="2" s="1"/>
  <c r="V21" i="4"/>
  <c r="G23" i="4"/>
  <c r="W17" i="4" l="1"/>
  <c r="X17" i="4"/>
  <c r="V17" i="4"/>
  <c r="W13" i="4"/>
  <c r="V13" i="4"/>
  <c r="L9" i="2"/>
</calcChain>
</file>

<file path=xl/sharedStrings.xml><?xml version="1.0" encoding="utf-8"?>
<sst xmlns="http://schemas.openxmlformats.org/spreadsheetml/2006/main" count="431" uniqueCount="158">
  <si>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</si>
  <si>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</si>
  <si>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</si>
  <si>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</si>
  <si>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</si>
  <si>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</si>
  <si>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</si>
  <si>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</si>
  <si>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</si>
  <si>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</si>
  <si>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</si>
  <si>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</si>
  <si>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</si>
  <si>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</si>
  <si>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</si>
  <si>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</si>
  <si>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</si>
  <si>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</si>
  <si>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</si>
  <si>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</si>
  <si>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</si>
  <si>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</si>
  <si>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</si>
  <si>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</si>
  <si>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</si>
  <si>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</si>
  <si>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</si>
  <si>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</si>
  <si>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</si>
  <si>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</si>
  <si>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</si>
  <si>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</si>
  <si>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</si>
  <si>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</si>
  <si>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</si>
  <si>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</si>
  <si>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</si>
  <si>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</si>
  <si>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</si>
  <si>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</si>
  <si>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</si>
  <si>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</si>
  <si>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</si>
  <si>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</si>
  <si>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</si>
  <si>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</si>
  <si>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</si>
  <si>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</si>
  <si>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</si>
  <si>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</si>
  <si>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</si>
  <si>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</si>
  <si>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</si>
  <si>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</si>
  <si>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</si>
  <si>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</si>
  <si>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</si>
  <si>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</si>
  <si>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</si>
  <si>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</si>
  <si>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</si>
  <si>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</si>
  <si>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</si>
  <si>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</si>
  <si>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</si>
  <si>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</si>
  <si>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</si>
  <si>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</si>
  <si>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</si>
  <si>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</si>
  <si>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</si>
  <si>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</si>
  <si>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</si>
  <si>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</si>
  <si>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</si>
  <si>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</si>
  <si>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</si>
  <si>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</si>
  <si>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</si>
  <si>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</si>
  <si>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</si>
  <si>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</si>
  <si>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</si>
  <si>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</si>
  <si>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</si>
  <si>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</si>
  <si>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</si>
  <si>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</si>
  <si>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</si>
  <si>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</si>
  <si>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</si>
  <si>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</si>
  <si>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</si>
  <si>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</si>
  <si>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</si>
  <si>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</si>
  <si>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</si>
  <si>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</si>
  <si>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</si>
  <si>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</si>
  <si>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</si>
  <si>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</si>
  <si>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</si>
  <si>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</si>
  <si>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</si>
  <si>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</si>
  <si>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</si>
  <si>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</si>
  <si>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</si>
  <si>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</si>
  <si>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</si>
  <si>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</si>
  <si>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</si>
  <si>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</si>
  <si>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</si>
  <si>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</si>
  <si>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</si>
  <si>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</si>
  <si>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</si>
  <si>
    <t>Acompanhamento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</si>
  <si>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</si>
  <si>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</si>
  <si>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</si>
  <si>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</si>
  <si>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</si>
  <si>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</si>
  <si>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</si>
  <si>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OPEA - Financeiro</t>
  </si>
  <si>
    <t>CCC - Obra / Monitori - Financeiro</t>
  </si>
  <si>
    <t>Compass - Obra</t>
  </si>
  <si>
    <t>SWA - Patriarca</t>
  </si>
  <si>
    <t>24G1627395</t>
  </si>
  <si>
    <t>Playbanco</t>
  </si>
  <si>
    <t>Trustee DTVM</t>
  </si>
  <si>
    <t>Binswanger - Obra /  Neo - Financeiro</t>
  </si>
  <si>
    <t>Tipo de pulverizado</t>
  </si>
  <si>
    <t>100% residencial</t>
  </si>
  <si>
    <t>33% comercial / 67% residencial</t>
  </si>
  <si>
    <t>Distribuição média por cota (base 10)</t>
  </si>
  <si>
    <t>24I1419236</t>
  </si>
  <si>
    <t>MRV Flex 2</t>
  </si>
  <si>
    <t>PG - Klabin</t>
  </si>
  <si>
    <t>¹ Valor líquido de dividendos pago no montante de R$ 1.997.014,76.</t>
  </si>
  <si>
    <t>FII</t>
  </si>
  <si>
    <t>GARE11</t>
  </si>
  <si>
    <t>Fundo</t>
  </si>
  <si>
    <t>Fundo imobiliário</t>
  </si>
  <si>
    <t>Yield médio anualizado desde fev/24</t>
  </si>
  <si>
    <t>Desde do primeiro mês operacional completo</t>
  </si>
  <si>
    <t>KNUQ11</t>
  </si>
  <si>
    <t>VGIR11</t>
  </si>
  <si>
    <t>MCCI11</t>
  </si>
  <si>
    <t>MCRE11</t>
  </si>
  <si>
    <t>Evolução de obras ²</t>
  </si>
  <si>
    <t>BTS</t>
  </si>
  <si>
    <t>Tipo²</t>
  </si>
  <si>
    <t>² Todas as operações com risco de obra apresentam seus percentuais informados na coluna "Evolução de Obras". Para os casos classificadas como "Obra em Repasse", as obras estão 100% concluídas com habite-se emitido</t>
  </si>
  <si>
    <t>Obra em 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</si>
</sst>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3" formatCode="_-* #,##0.00_-;\-* #,##0.00_-;_-* &quot;-&quot;??_-;_-@_-"/>
    <numFmt numFmtId="164" formatCode="0.0"/>
    <numFmt numFmtId="168" formatCode="&quot;R$&quot;\ #,##0.00"/>
    <numFmt numFmtId="170" formatCode="#,##0.000"/>
    <numFmt numFmtId="172" formatCode="#,##0.0"/>
    <numFmt numFmtId="180" formatCode="&quot;R$&quot;\ #,##0.000;[Red]\-&quot;R$&quot;\ #,##0.000"/>
  </numFmts>
  <fonts count="19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b/>
      <sz val="16"/>
      <name val="Darker Grotesque"/>
    </font>
    <font>
      <sz val="7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rgb="FF000000"/>
      <name val="Darker Grotesque"/>
    </font>
    <font>
      <sz val="9"/>
      <color theme="1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b/>
      <sz val="10"/>
      <color theme="0"/>
      <name val="Darker Grotesque"/>
    </font>
    <font>
      <b/>
      <sz val="10"/>
      <color rgb="FFFFFFFF"/>
      <name val="Darker Grotesque"/>
    </font>
    <font>
      <sz val="7"/>
      <color theme="1"/>
      <name val="Darker Grotesque"/>
    </font>
    <font>
      <sz val="10.5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2D15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5">
    <xf numFmtId="0" fontId="0" fillId="0" borderId="0" xfId="0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168" fontId="7" fillId="0" borderId="0" xfId="2" applyNumberFormat="1" applyFont="1" applyAlignment="1">
      <alignment horizontal="left" vertical="center"/>
    </xf>
    <xf numFmtId="8" fontId="7" fillId="0" borderId="0" xfId="0" applyNumberFormat="1" applyFont="1" applyAlignment="1">
      <alignment horizontal="left" vertical="center"/>
    </xf>
    <xf numFmtId="3" fontId="7" fillId="0" borderId="10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4" fontId="7" fillId="0" borderId="10" xfId="0" applyNumberFormat="1" applyFont="1" applyBorder="1" applyAlignment="1">
      <alignment horizontal="left" vertical="center" wrapText="1"/>
    </xf>
    <xf numFmtId="8" fontId="9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/>
    </xf>
    <xf numFmtId="14" fontId="6" fillId="0" borderId="0" xfId="0" applyNumberFormat="1" applyFont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readingOrder="1"/>
    </xf>
    <xf numFmtId="0" fontId="12" fillId="0" borderId="0" xfId="0" applyFont="1"/>
    <xf numFmtId="0" fontId="12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" fontId="6" fillId="0" borderId="0" xfId="0" applyNumberFormat="1" applyFont="1"/>
    <xf numFmtId="3" fontId="13" fillId="3" borderId="0" xfId="0" applyNumberFormat="1" applyFont="1" applyFill="1" applyBorder="1" applyAlignment="1">
      <alignment horizontal="left" vertical="center"/>
    </xf>
    <xf numFmtId="3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10" fontId="7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7" fillId="0" borderId="10" xfId="0" applyNumberFormat="1" applyFont="1" applyBorder="1" applyAlignment="1">
      <alignment horizontal="left" vertical="center"/>
    </xf>
    <xf numFmtId="10" fontId="7" fillId="0" borderId="10" xfId="2" applyNumberFormat="1" applyFont="1" applyBorder="1" applyAlignment="1">
      <alignment horizontal="left" vertical="center"/>
    </xf>
    <xf numFmtId="4" fontId="6" fillId="0" borderId="0" xfId="0" applyNumberFormat="1" applyFont="1"/>
    <xf numFmtId="10" fontId="6" fillId="0" borderId="0" xfId="0" applyNumberFormat="1" applyFont="1"/>
    <xf numFmtId="10" fontId="7" fillId="0" borderId="0" xfId="1" applyNumberFormat="1" applyFont="1" applyFill="1" applyAlignment="1">
      <alignment horizontal="left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vertical="center"/>
    </xf>
    <xf numFmtId="10" fontId="7" fillId="0" borderId="0" xfId="2" applyNumberFormat="1" applyFont="1" applyFill="1" applyAlignment="1">
      <alignment horizontal="left" vertical="center"/>
    </xf>
    <xf numFmtId="170" fontId="13" fillId="2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0" fontId="7" fillId="0" borderId="0" xfId="2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center"/>
    </xf>
    <xf numFmtId="0" fontId="15" fillId="4" borderId="1" xfId="0" applyFont="1" applyFill="1" applyBorder="1" applyAlignment="1">
      <alignment vertical="center" wrapText="1"/>
    </xf>
    <xf numFmtId="17" fontId="15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0" xfId="0" applyFont="1"/>
    <xf numFmtId="0" fontId="12" fillId="0" borderId="0" xfId="0" applyFont="1" applyAlignment="1">
      <alignment horizontal="center" vertical="center" readingOrder="1"/>
    </xf>
    <xf numFmtId="10" fontId="12" fillId="0" borderId="0" xfId="0" applyNumberFormat="1" applyFont="1" applyAlignment="1">
      <alignment horizontal="center" vertical="center" readingOrder="1"/>
    </xf>
    <xf numFmtId="17" fontId="12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10" fontId="11" fillId="0" borderId="0" xfId="0" applyNumberFormat="1" applyFont="1" applyAlignment="1">
      <alignment horizontal="center" vertical="center" readingOrder="1"/>
    </xf>
    <xf numFmtId="3" fontId="11" fillId="0" borderId="0" xfId="0" applyNumberFormat="1" applyFont="1" applyAlignment="1">
      <alignment horizontal="center" vertical="center" readingOrder="1"/>
    </xf>
    <xf numFmtId="17" fontId="11" fillId="0" borderId="0" xfId="0" applyNumberFormat="1" applyFont="1" applyAlignment="1">
      <alignment horizontal="center" vertical="center" readingOrder="1"/>
    </xf>
    <xf numFmtId="10" fontId="11" fillId="0" borderId="0" xfId="1" applyNumberFormat="1" applyFont="1" applyFill="1" applyBorder="1" applyAlignment="1">
      <alignment horizontal="center" vertical="center" readingOrder="1"/>
    </xf>
    <xf numFmtId="0" fontId="16" fillId="5" borderId="11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readingOrder="1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3" fontId="6" fillId="0" borderId="0" xfId="0" applyNumberFormat="1" applyFont="1"/>
    <xf numFmtId="4" fontId="6" fillId="0" borderId="0" xfId="0" applyNumberFormat="1" applyFont="1"/>
    <xf numFmtId="10" fontId="6" fillId="0" borderId="0" xfId="0" applyNumberFormat="1" applyFont="1"/>
    <xf numFmtId="10" fontId="12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16" fillId="5" borderId="11" xfId="0" applyNumberFormat="1" applyFont="1" applyFill="1" applyBorder="1" applyAlignment="1">
      <alignment horizontal="center" vertical="center" readingOrder="1"/>
    </xf>
    <xf numFmtId="0" fontId="11" fillId="0" borderId="0" xfId="0" quotePrefix="1" applyFont="1" applyAlignment="1">
      <alignment horizontal="center" vertical="center" readingOrder="1"/>
    </xf>
    <xf numFmtId="172" fontId="6" fillId="0" borderId="0" xfId="0" applyNumberFormat="1" applyFont="1" applyAlignment="1">
      <alignment horizontal="center"/>
    </xf>
    <xf numFmtId="0" fontId="17" fillId="0" borderId="0" xfId="0" applyFont="1"/>
    <xf numFmtId="4" fontId="18" fillId="0" borderId="0" xfId="3" applyNumberFormat="1" applyFont="1" applyFill="1" applyBorder="1" applyAlignment="1">
      <alignment horizontal="center" vertical="center" readingOrder="1"/>
    </xf>
    <xf numFmtId="3" fontId="18" fillId="0" borderId="0" xfId="3" applyNumberFormat="1" applyFont="1" applyFill="1" applyBorder="1" applyAlignment="1">
      <alignment horizontal="center" vertical="center" readingOrder="1"/>
    </xf>
    <xf numFmtId="17" fontId="11" fillId="6" borderId="0" xfId="0" applyNumberFormat="1" applyFont="1" applyFill="1" applyAlignment="1">
      <alignment horizontal="center" vertical="center" readingOrder="1"/>
    </xf>
    <xf numFmtId="10" fontId="11" fillId="6" borderId="0" xfId="0" applyNumberFormat="1" applyFont="1" applyFill="1" applyAlignment="1">
      <alignment horizontal="center" vertical="center" readingOrder="1"/>
    </xf>
    <xf numFmtId="9" fontId="11" fillId="0" borderId="0" xfId="0" applyNumberFormat="1" applyFont="1" applyAlignment="1">
      <alignment horizontal="center" vertical="center" readingOrder="1"/>
    </xf>
    <xf numFmtId="172" fontId="11" fillId="0" borderId="0" xfId="0" applyNumberFormat="1" applyFont="1" applyAlignment="1">
      <alignment horizontal="center" vertical="center" readingOrder="1"/>
    </xf>
    <xf numFmtId="172" fontId="12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 readingOrder="1"/>
    </xf>
    <xf numFmtId="3" fontId="12" fillId="0" borderId="0" xfId="0" applyNumberFormat="1" applyFont="1" applyAlignment="1">
      <alignment horizontal="center" vertical="center" readingOrder="1"/>
    </xf>
    <xf numFmtId="3" fontId="1" fillId="0" borderId="0" xfId="0" applyNumberFormat="1" applyFont="1" applyAlignment="1">
      <alignment horizontal="center" vertical="center" readingOrder="1"/>
    </xf>
    <xf numFmtId="17" fontId="15" fillId="4" borderId="1" xfId="0" applyNumberFormat="1" applyFont="1" applyFill="1" applyBorder="1" applyAlignment="1">
      <alignment horizontal="center" vertical="center" wrapText="1"/>
    </xf>
    <xf numFmtId="17" fontId="15" fillId="4" borderId="0" xfId="0" applyNumberFormat="1" applyFont="1" applyFill="1" applyAlignment="1">
      <alignment horizontal="center" vertical="center" wrapText="1"/>
    </xf>
    <xf numFmtId="180" fontId="6" fillId="0" borderId="0" xfId="0" applyNumberFormat="1" applyFont="1"/>
    <xf numFmtId="168" fontId="6" fillId="0" borderId="0" xfId="0" applyNumberFormat="1" applyFont="1"/>
    <xf numFmtId="168" fontId="7" fillId="0" borderId="0" xfId="2" applyNumberFormat="1" applyFont="1" applyFill="1" applyAlignment="1">
      <alignment horizontal="left" vertical="center" wrapText="1"/>
    </xf>
    <xf numFmtId="10" fontId="11" fillId="0" borderId="0" xfId="0" applyNumberFormat="1" applyFont="1" applyFill="1" applyAlignment="1">
      <alignment horizontal="center" vertical="center" readingOrder="1"/>
    </xf>
    <xf numFmtId="3" fontId="11" fillId="0" borderId="0" xfId="0" applyNumberFormat="1" applyFont="1" applyFill="1" applyAlignment="1">
      <alignment horizontal="center" vertical="center" readingOrder="1"/>
    </xf>
    <xf numFmtId="0" fontId="8" fillId="0" borderId="0" xfId="0" applyFont="1" applyFill="1" applyAlignment="1">
      <alignment vertical="center"/>
    </xf>
    <xf numFmtId="168" fontId="7" fillId="0" borderId="0" xfId="2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4" fontId="13" fillId="2" borderId="0" xfId="0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horizontal="center"/>
    </xf>
    <xf numFmtId="4" fontId="0" fillId="0" borderId="0" xfId="0" applyNumberFormat="1"/>
    <xf numFmtId="164" fontId="0" fillId="0" borderId="0" xfId="0" applyNumberFormat="1"/>
    <xf numFmtId="9" fontId="12" fillId="0" borderId="0" xfId="0" applyNumberFormat="1" applyFont="1" applyAlignment="1">
      <alignment horizontal="center" vertical="center" readingOrder="1"/>
    </xf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4">
    <cellStyle name="Normal" xfId="0" builtinId="0"/>
    <cellStyle name="Porcentagem" xfId="1" builtinId="5"/>
    <cellStyle name="Vírgula" xfId="2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190500</xdr:rowOff>
    </xdr:from>
    <xdr:to>
      <xdr:col>2</xdr:col>
      <xdr:colOff>1549400</xdr:colOff>
      <xdr:row>3</xdr:row>
      <xdr:rowOff>165100</xdr:rowOff>
    </xdr:to>
    <xdr:pic>
      <xdr:nvPicPr>
        <xdr:cNvPr id="43919" name="Imagem 10">
          <a:extLst>
            <a:ext uri="{FF2B5EF4-FFF2-40B4-BE49-F238E27FC236}">
              <a16:creationId xmlns:a16="http://schemas.microsoft.com/office/drawing/2014/main" id="{27096DCA-C468-6E2C-0248-06AB33FEE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93700"/>
          <a:ext cx="14986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4</xdr:row>
      <xdr:rowOff>69850</xdr:rowOff>
    </xdr:from>
    <xdr:to>
      <xdr:col>2</xdr:col>
      <xdr:colOff>1416050</xdr:colOff>
      <xdr:row>7</xdr:row>
      <xdr:rowOff>38100</xdr:rowOff>
    </xdr:to>
    <xdr:grpSp>
      <xdr:nvGrpSpPr>
        <xdr:cNvPr id="43920" name="Agrupar 11">
          <a:extLst>
            <a:ext uri="{FF2B5EF4-FFF2-40B4-BE49-F238E27FC236}">
              <a16:creationId xmlns:a16="http://schemas.microsoft.com/office/drawing/2014/main" id="{DEA8BA33-BED2-5165-FA97-029D88CE0B7F}"/>
            </a:ext>
          </a:extLst>
        </xdr:cNvPr>
        <xdr:cNvGrpSpPr>
          <a:grpSpLocks/>
        </xdr:cNvGrpSpPr>
      </xdr:nvGrpSpPr>
      <xdr:grpSpPr bwMode="auto">
        <a:xfrm>
          <a:off x="577850" y="971550"/>
          <a:ext cx="1225550" cy="558800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471D9E10-B9C5-23FF-77F5-B67EFFE53F91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17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393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EF57EA19-5CC0-5AC4-6FC5-5CED9EB7A494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113723</xdr:rowOff>
    </xdr:from>
    <xdr:to>
      <xdr:col>14</xdr:col>
      <xdr:colOff>1</xdr:colOff>
      <xdr:row>20</xdr:row>
      <xdr:rowOff>113723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71E13991-B79B-D3F7-C2E5-65270CB48ACD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50800</xdr:colOff>
      <xdr:row>1</xdr:row>
      <xdr:rowOff>190500</xdr:rowOff>
    </xdr:from>
    <xdr:to>
      <xdr:col>2</xdr:col>
      <xdr:colOff>1549400</xdr:colOff>
      <xdr:row>3</xdr:row>
      <xdr:rowOff>165100</xdr:rowOff>
    </xdr:to>
    <xdr:pic>
      <xdr:nvPicPr>
        <xdr:cNvPr id="43922" name="Imagem 10">
          <a:extLst>
            <a:ext uri="{FF2B5EF4-FFF2-40B4-BE49-F238E27FC236}">
              <a16:creationId xmlns:a16="http://schemas.microsoft.com/office/drawing/2014/main" id="{612E496B-BBB2-5CC9-073B-4435495B1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93700"/>
          <a:ext cx="14986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4</xdr:row>
      <xdr:rowOff>69850</xdr:rowOff>
    </xdr:from>
    <xdr:to>
      <xdr:col>2</xdr:col>
      <xdr:colOff>1416050</xdr:colOff>
      <xdr:row>7</xdr:row>
      <xdr:rowOff>38100</xdr:rowOff>
    </xdr:to>
    <xdr:grpSp>
      <xdr:nvGrpSpPr>
        <xdr:cNvPr id="43923" name="Agrupar 11">
          <a:extLst>
            <a:ext uri="{FF2B5EF4-FFF2-40B4-BE49-F238E27FC236}">
              <a16:creationId xmlns:a16="http://schemas.microsoft.com/office/drawing/2014/main" id="{32DDC0F7-216E-5326-86BB-DA60506036D4}"/>
            </a:ext>
          </a:extLst>
        </xdr:cNvPr>
        <xdr:cNvGrpSpPr>
          <a:grpSpLocks/>
        </xdr:cNvGrpSpPr>
      </xdr:nvGrpSpPr>
      <xdr:grpSpPr bwMode="auto">
        <a:xfrm>
          <a:off x="577850" y="971550"/>
          <a:ext cx="1225550" cy="558800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FC7AB5FB-B6F5-7ED9-F3A2-D01A7B21970A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17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393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C5152FAE-053B-7190-AD4B-C949A69A613B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113723</xdr:rowOff>
    </xdr:from>
    <xdr:to>
      <xdr:col>14</xdr:col>
      <xdr:colOff>0</xdr:colOff>
      <xdr:row>20</xdr:row>
      <xdr:rowOff>113723</xdr:rowOff>
    </xdr:to>
    <xdr:cxnSp macro="">
      <xdr:nvCxnSpPr>
        <xdr:cNvPr id="11" name="Straight Connector 49">
          <a:extLst>
            <a:ext uri="{FF2B5EF4-FFF2-40B4-BE49-F238E27FC236}">
              <a16:creationId xmlns:a16="http://schemas.microsoft.com/office/drawing/2014/main" id="{51E4F8F5-8131-06DF-069E-512D2C8AC258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50800</xdr:colOff>
      <xdr:row>1</xdr:row>
      <xdr:rowOff>190500</xdr:rowOff>
    </xdr:from>
    <xdr:to>
      <xdr:col>2</xdr:col>
      <xdr:colOff>1549400</xdr:colOff>
      <xdr:row>3</xdr:row>
      <xdr:rowOff>165100</xdr:rowOff>
    </xdr:to>
    <xdr:pic>
      <xdr:nvPicPr>
        <xdr:cNvPr id="43925" name="Imagem 10">
          <a:extLst>
            <a:ext uri="{FF2B5EF4-FFF2-40B4-BE49-F238E27FC236}">
              <a16:creationId xmlns:a16="http://schemas.microsoft.com/office/drawing/2014/main" id="{44B4E4BA-C53E-A2C9-6F0B-03BF447FF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93700"/>
          <a:ext cx="14986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4</xdr:row>
      <xdr:rowOff>69850</xdr:rowOff>
    </xdr:from>
    <xdr:to>
      <xdr:col>2</xdr:col>
      <xdr:colOff>1416050</xdr:colOff>
      <xdr:row>7</xdr:row>
      <xdr:rowOff>38100</xdr:rowOff>
    </xdr:to>
    <xdr:grpSp>
      <xdr:nvGrpSpPr>
        <xdr:cNvPr id="43926" name="Agrupar 11">
          <a:extLst>
            <a:ext uri="{FF2B5EF4-FFF2-40B4-BE49-F238E27FC236}">
              <a16:creationId xmlns:a16="http://schemas.microsoft.com/office/drawing/2014/main" id="{CE7F42C1-448B-F8D6-E031-154B095A6376}"/>
            </a:ext>
          </a:extLst>
        </xdr:cNvPr>
        <xdr:cNvGrpSpPr>
          <a:grpSpLocks/>
        </xdr:cNvGrpSpPr>
      </xdr:nvGrpSpPr>
      <xdr:grpSpPr bwMode="auto">
        <a:xfrm>
          <a:off x="577850" y="971550"/>
          <a:ext cx="1225550" cy="558800"/>
          <a:chOff x="3335767" y="5244097"/>
          <a:chExt cx="1171532" cy="517530"/>
        </a:xfrm>
      </xdr:grpSpPr>
      <xdr:sp macro="" textlink="">
        <xdr:nvSpPr>
          <xdr:cNvPr id="15" name="Subtítulo 1">
            <a:extLst>
              <a:ext uri="{FF2B5EF4-FFF2-40B4-BE49-F238E27FC236}">
                <a16:creationId xmlns:a16="http://schemas.microsoft.com/office/drawing/2014/main" id="{E2D07588-BD2C-2007-32BB-039FEF9F85ED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17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3929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BD7238C8-5C16-F2E7-1FF6-07629CE1F05B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113723</xdr:rowOff>
    </xdr:from>
    <xdr:to>
      <xdr:col>14</xdr:col>
      <xdr:colOff>0</xdr:colOff>
      <xdr:row>20</xdr:row>
      <xdr:rowOff>113723</xdr:rowOff>
    </xdr:to>
    <xdr:cxnSp macro="">
      <xdr:nvCxnSpPr>
        <xdr:cNvPr id="17" name="Straight Connector 49">
          <a:extLst>
            <a:ext uri="{FF2B5EF4-FFF2-40B4-BE49-F238E27FC236}">
              <a16:creationId xmlns:a16="http://schemas.microsoft.com/office/drawing/2014/main" id="{50A81A87-7020-AAD2-A987-F4FD1AE1D5F0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88900</xdr:rowOff>
    </xdr:from>
    <xdr:to>
      <xdr:col>3</xdr:col>
      <xdr:colOff>152400</xdr:colOff>
      <xdr:row>2</xdr:row>
      <xdr:rowOff>139700</xdr:rowOff>
    </xdr:to>
    <xdr:pic>
      <xdr:nvPicPr>
        <xdr:cNvPr id="44162" name="Imagem 15">
          <a:extLst>
            <a:ext uri="{FF2B5EF4-FFF2-40B4-BE49-F238E27FC236}">
              <a16:creationId xmlns:a16="http://schemas.microsoft.com/office/drawing/2014/main" id="{EFBF5839-5EEB-E595-EC03-A018D2D2D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88900"/>
          <a:ext cx="1492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38100</xdr:rowOff>
    </xdr:from>
    <xdr:to>
      <xdr:col>3</xdr:col>
      <xdr:colOff>19050</xdr:colOff>
      <xdr:row>5</xdr:row>
      <xdr:rowOff>196850</xdr:rowOff>
    </xdr:to>
    <xdr:grpSp>
      <xdr:nvGrpSpPr>
        <xdr:cNvPr id="44163" name="Agrupar 16">
          <a:extLst>
            <a:ext uri="{FF2B5EF4-FFF2-40B4-BE49-F238E27FC236}">
              <a16:creationId xmlns:a16="http://schemas.microsoft.com/office/drawing/2014/main" id="{36DC7395-0B25-D4AE-1556-248524293D43}"/>
            </a:ext>
          </a:extLst>
        </xdr:cNvPr>
        <xdr:cNvGrpSpPr>
          <a:grpSpLocks/>
        </xdr:cNvGrpSpPr>
      </xdr:nvGrpSpPr>
      <xdr:grpSpPr bwMode="auto">
        <a:xfrm>
          <a:off x="203200" y="647700"/>
          <a:ext cx="1225550" cy="565150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612B1E28-CF4A-F5F7-EF1D-94D2533A07D2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48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4169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340107F6-3EEB-7C98-F39F-0B0C31384424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88900</xdr:rowOff>
    </xdr:from>
    <xdr:to>
      <xdr:col>3</xdr:col>
      <xdr:colOff>152400</xdr:colOff>
      <xdr:row>2</xdr:row>
      <xdr:rowOff>139700</xdr:rowOff>
    </xdr:to>
    <xdr:pic>
      <xdr:nvPicPr>
        <xdr:cNvPr id="44164" name="Imagem 15">
          <a:extLst>
            <a:ext uri="{FF2B5EF4-FFF2-40B4-BE49-F238E27FC236}">
              <a16:creationId xmlns:a16="http://schemas.microsoft.com/office/drawing/2014/main" id="{CD1DAEFB-B1A5-4B8C-515E-AEA542BBA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88900"/>
          <a:ext cx="1492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38100</xdr:rowOff>
    </xdr:from>
    <xdr:to>
      <xdr:col>3</xdr:col>
      <xdr:colOff>19050</xdr:colOff>
      <xdr:row>5</xdr:row>
      <xdr:rowOff>196850</xdr:rowOff>
    </xdr:to>
    <xdr:grpSp>
      <xdr:nvGrpSpPr>
        <xdr:cNvPr id="44165" name="Agrupar 16">
          <a:extLst>
            <a:ext uri="{FF2B5EF4-FFF2-40B4-BE49-F238E27FC236}">
              <a16:creationId xmlns:a16="http://schemas.microsoft.com/office/drawing/2014/main" id="{CAF8057A-EA24-BC23-ACCA-CFB484B59878}"/>
            </a:ext>
          </a:extLst>
        </xdr:cNvPr>
        <xdr:cNvGrpSpPr>
          <a:grpSpLocks/>
        </xdr:cNvGrpSpPr>
      </xdr:nvGrpSpPr>
      <xdr:grpSpPr bwMode="auto">
        <a:xfrm>
          <a:off x="203200" y="647700"/>
          <a:ext cx="1225550" cy="565150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EEBE21CB-F6A6-3999-087D-426120E35861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48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4167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CBD78570-8E0E-F818-EBAD-580521FBC124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88900</xdr:rowOff>
    </xdr:from>
    <xdr:to>
      <xdr:col>3</xdr:col>
      <xdr:colOff>152400</xdr:colOff>
      <xdr:row>2</xdr:row>
      <xdr:rowOff>139700</xdr:rowOff>
    </xdr:to>
    <xdr:pic>
      <xdr:nvPicPr>
        <xdr:cNvPr id="45064" name="Imagem 5">
          <a:extLst>
            <a:ext uri="{FF2B5EF4-FFF2-40B4-BE49-F238E27FC236}">
              <a16:creationId xmlns:a16="http://schemas.microsoft.com/office/drawing/2014/main" id="{04B15898-D5D8-1707-73A6-A59B5CF40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88900"/>
          <a:ext cx="14033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38100</xdr:rowOff>
    </xdr:from>
    <xdr:to>
      <xdr:col>3</xdr:col>
      <xdr:colOff>19050</xdr:colOff>
      <xdr:row>5</xdr:row>
      <xdr:rowOff>184150</xdr:rowOff>
    </xdr:to>
    <xdr:grpSp>
      <xdr:nvGrpSpPr>
        <xdr:cNvPr id="45065" name="Agrupar 6">
          <a:extLst>
            <a:ext uri="{FF2B5EF4-FFF2-40B4-BE49-F238E27FC236}">
              <a16:creationId xmlns:a16="http://schemas.microsoft.com/office/drawing/2014/main" id="{A5BB6B03-0564-0453-A95C-CDCDB8717D29}"/>
            </a:ext>
          </a:extLst>
        </xdr:cNvPr>
        <xdr:cNvGrpSpPr>
          <a:grpSpLocks/>
        </xdr:cNvGrpSpPr>
      </xdr:nvGrpSpPr>
      <xdr:grpSpPr bwMode="auto">
        <a:xfrm>
          <a:off x="203200" y="642445"/>
          <a:ext cx="1134022" cy="548946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D009DE05-76F0-AD7F-C723-ABC0A7B831A8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302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07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C134EDF5-788F-EEEC-366D-05EE44344287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88900</xdr:rowOff>
    </xdr:from>
    <xdr:to>
      <xdr:col>3</xdr:col>
      <xdr:colOff>152400</xdr:colOff>
      <xdr:row>2</xdr:row>
      <xdr:rowOff>139700</xdr:rowOff>
    </xdr:to>
    <xdr:pic>
      <xdr:nvPicPr>
        <xdr:cNvPr id="45066" name="Imagem 5">
          <a:extLst>
            <a:ext uri="{FF2B5EF4-FFF2-40B4-BE49-F238E27FC236}">
              <a16:creationId xmlns:a16="http://schemas.microsoft.com/office/drawing/2014/main" id="{BE5E0C92-35A4-2D25-C477-1A318A168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88900"/>
          <a:ext cx="14033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38100</xdr:rowOff>
    </xdr:from>
    <xdr:to>
      <xdr:col>3</xdr:col>
      <xdr:colOff>19050</xdr:colOff>
      <xdr:row>5</xdr:row>
      <xdr:rowOff>184150</xdr:rowOff>
    </xdr:to>
    <xdr:grpSp>
      <xdr:nvGrpSpPr>
        <xdr:cNvPr id="45067" name="Agrupar 6">
          <a:extLst>
            <a:ext uri="{FF2B5EF4-FFF2-40B4-BE49-F238E27FC236}">
              <a16:creationId xmlns:a16="http://schemas.microsoft.com/office/drawing/2014/main" id="{7C120500-445D-1B5C-EC16-6ECBFCD2E9C0}"/>
            </a:ext>
          </a:extLst>
        </xdr:cNvPr>
        <xdr:cNvGrpSpPr>
          <a:grpSpLocks/>
        </xdr:cNvGrpSpPr>
      </xdr:nvGrpSpPr>
      <xdr:grpSpPr bwMode="auto">
        <a:xfrm>
          <a:off x="203200" y="642445"/>
          <a:ext cx="1134022" cy="548946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CF3CC381-CF5A-F96A-4FCE-5D4C8C4690FE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302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069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CA20D2CC-4A02-EB03-AFEF-6DF1FA0625AE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zoomScaleNormal="100" workbookViewId="0"/>
  </sheetViews>
  <sheetFormatPr defaultColWidth="9.1796875" defaultRowHeight="16"/>
  <cols>
    <col min="1" max="1" width="3.26953125" style="4" customWidth="1"/>
    <col min="2" max="2" width="2.26953125" style="4" customWidth="1"/>
    <col min="3" max="3" width="27.1796875" style="4" customWidth="1"/>
    <col min="4" max="4" width="10.7265625" style="4" customWidth="1"/>
    <col min="5" max="5" width="27" style="4" customWidth="1"/>
    <col min="6" max="6" width="14.81640625" style="4" bestFit="1" customWidth="1"/>
    <col min="7" max="7" width="29.81640625" style="4" customWidth="1"/>
    <col min="8" max="8" width="3.26953125" style="4" customWidth="1"/>
    <col min="9" max="9" width="2.26953125" style="4" customWidth="1"/>
    <col min="10" max="10" width="27.1796875" style="4" customWidth="1"/>
    <col min="11" max="11" width="10.7265625" style="4" customWidth="1"/>
    <col min="12" max="12" width="27" style="4" customWidth="1"/>
    <col min="13" max="13" width="10.7265625" style="4" customWidth="1"/>
    <col min="14" max="14" width="29.81640625" style="4" customWidth="1"/>
    <col min="15" max="16384" width="9.1796875" style="4"/>
  </cols>
  <sheetData>
    <row r="1" spans="1:14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>
      <c r="A2" s="5"/>
      <c r="G2" s="6"/>
      <c r="H2" s="5"/>
      <c r="N2" s="6"/>
    </row>
    <row r="3" spans="1:14" ht="23">
      <c r="A3" s="5"/>
      <c r="E3" s="7" t="s">
        <v>16</v>
      </c>
      <c r="G3" s="6"/>
      <c r="H3" s="5"/>
      <c r="J3" s="7" t="s">
        <v>47</v>
      </c>
      <c r="L3" s="7"/>
      <c r="N3" s="6"/>
    </row>
    <row r="4" spans="1:14">
      <c r="A4" s="5"/>
      <c r="G4" s="6"/>
      <c r="H4" s="5"/>
      <c r="N4" s="6"/>
    </row>
    <row r="5" spans="1:14" ht="14.5" customHeight="1">
      <c r="A5" s="5"/>
      <c r="E5" s="113" t="s">
        <v>21</v>
      </c>
      <c r="F5" s="113"/>
      <c r="G5" s="114"/>
      <c r="H5" s="5"/>
      <c r="L5" s="56"/>
      <c r="M5" s="56"/>
      <c r="N5" s="57"/>
    </row>
    <row r="6" spans="1:14">
      <c r="A6" s="5"/>
      <c r="E6" s="113"/>
      <c r="F6" s="113"/>
      <c r="G6" s="114"/>
      <c r="H6" s="5"/>
      <c r="L6" s="56"/>
      <c r="M6" s="56"/>
      <c r="N6" s="57"/>
    </row>
    <row r="7" spans="1:14">
      <c r="A7" s="5"/>
      <c r="E7" s="113"/>
      <c r="F7" s="113"/>
      <c r="G7" s="114"/>
      <c r="H7" s="5"/>
      <c r="L7" s="56"/>
      <c r="M7" s="56"/>
      <c r="N7" s="57"/>
    </row>
    <row r="8" spans="1:14">
      <c r="A8" s="5"/>
      <c r="G8" s="14"/>
      <c r="H8" s="5"/>
      <c r="L8" s="44"/>
      <c r="N8" s="14"/>
    </row>
    <row r="9" spans="1:14" ht="36" customHeight="1">
      <c r="A9" s="5"/>
      <c r="C9" s="100">
        <v>204451817.68000001</v>
      </c>
      <c r="D9" s="22"/>
      <c r="E9" s="16">
        <v>0.1</v>
      </c>
      <c r="F9" s="52"/>
      <c r="G9" s="105">
        <v>4622</v>
      </c>
      <c r="H9" s="5"/>
      <c r="J9" s="45">
        <f>((1+DRE!T21/DRE!T23)^12-1)</f>
        <v>0.13054573463845176</v>
      </c>
      <c r="K9" s="22"/>
      <c r="L9" s="45">
        <f>((1+AVERAGE(DRE!H21:T21)/DRE!T23)^12-1)</f>
        <v>0.11451410565581654</v>
      </c>
      <c r="M9" s="40"/>
      <c r="N9" s="41">
        <f>N12/(1+22.5%)</f>
        <v>1.1029099985224939</v>
      </c>
    </row>
    <row r="10" spans="1:14">
      <c r="A10" s="5"/>
      <c r="C10" s="9" t="s">
        <v>17</v>
      </c>
      <c r="D10" s="10"/>
      <c r="E10" s="9" t="s">
        <v>46</v>
      </c>
      <c r="F10" s="10"/>
      <c r="G10" s="18" t="s">
        <v>18</v>
      </c>
      <c r="H10" s="5"/>
      <c r="J10" s="9" t="s">
        <v>45</v>
      </c>
      <c r="K10" s="10"/>
      <c r="L10" s="9" t="s">
        <v>147</v>
      </c>
      <c r="M10" s="10"/>
      <c r="N10" s="18" t="s">
        <v>51</v>
      </c>
    </row>
    <row r="11" spans="1:14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>
      <c r="A12" s="5"/>
      <c r="C12" s="15">
        <f>C9/21021208</f>
        <v>9.7259785298732595</v>
      </c>
      <c r="D12" s="10"/>
      <c r="E12" s="16" t="s">
        <v>80</v>
      </c>
      <c r="F12" s="10"/>
      <c r="G12" s="50">
        <v>0.84399999999999997</v>
      </c>
      <c r="H12" s="5"/>
      <c r="J12" s="39">
        <v>0.12620000000000001</v>
      </c>
      <c r="K12" s="10"/>
      <c r="L12" s="15">
        <f>AVERAGE(DRE!H21:T21)</f>
        <v>8.8307682120178532E-2</v>
      </c>
      <c r="M12" s="10"/>
      <c r="N12" s="42">
        <v>1.3510647481900553</v>
      </c>
    </row>
    <row r="13" spans="1:14">
      <c r="A13" s="5"/>
      <c r="C13" s="9" t="s">
        <v>49</v>
      </c>
      <c r="D13" s="10"/>
      <c r="E13" s="9" t="s">
        <v>24</v>
      </c>
      <c r="F13" s="10"/>
      <c r="G13" s="4" t="s">
        <v>82</v>
      </c>
      <c r="H13" s="5"/>
      <c r="J13" s="9" t="s">
        <v>48</v>
      </c>
      <c r="K13" s="10"/>
      <c r="L13" s="9" t="s">
        <v>81</v>
      </c>
      <c r="M13" s="10"/>
      <c r="N13" s="18" t="s">
        <v>52</v>
      </c>
    </row>
    <row r="14" spans="1:14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4">
      <c r="A15" s="5"/>
      <c r="C15" s="100">
        <v>204451817.68000001</v>
      </c>
      <c r="D15" s="10"/>
      <c r="E15" s="21" t="s">
        <v>26</v>
      </c>
      <c r="F15" s="10"/>
      <c r="G15" s="20">
        <v>45295</v>
      </c>
      <c r="H15" s="5"/>
      <c r="J15" s="50">
        <v>0.05</v>
      </c>
      <c r="K15" s="49"/>
      <c r="L15" s="55">
        <v>0.1002</v>
      </c>
      <c r="M15" s="55"/>
      <c r="N15" s="42">
        <v>0.2175</v>
      </c>
    </row>
    <row r="16" spans="1:14">
      <c r="A16" s="5"/>
      <c r="C16" s="103" t="s">
        <v>22</v>
      </c>
      <c r="D16" s="10"/>
      <c r="E16" s="9" t="s">
        <v>25</v>
      </c>
      <c r="F16" s="10"/>
      <c r="G16" s="18" t="s">
        <v>19</v>
      </c>
      <c r="H16" s="5"/>
      <c r="J16" s="9" t="s">
        <v>53</v>
      </c>
      <c r="K16" s="10"/>
      <c r="L16" s="9" t="s">
        <v>55</v>
      </c>
      <c r="M16" s="10"/>
      <c r="N16" s="18" t="s">
        <v>54</v>
      </c>
    </row>
    <row r="17" spans="1:14">
      <c r="A17" s="5"/>
      <c r="C17" s="103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3">
      <c r="A18" s="5"/>
      <c r="C18" s="104">
        <f>C15/21021208</f>
        <v>9.7259785298732595</v>
      </c>
      <c r="D18" s="10"/>
      <c r="E18" s="16"/>
      <c r="F18" s="10"/>
      <c r="G18" s="17"/>
      <c r="H18" s="5"/>
      <c r="J18" s="50">
        <v>9.2999999999999999E-2</v>
      </c>
      <c r="K18" s="10"/>
      <c r="L18" s="16"/>
      <c r="M18" s="10"/>
      <c r="N18" s="17"/>
    </row>
    <row r="19" spans="1:14">
      <c r="A19" s="5"/>
      <c r="C19" s="9" t="s">
        <v>50</v>
      </c>
      <c r="D19" s="10"/>
      <c r="E19" s="9" t="s">
        <v>23</v>
      </c>
      <c r="F19" s="23">
        <v>45716</v>
      </c>
      <c r="G19" s="18"/>
      <c r="H19" s="5"/>
      <c r="J19" s="9" t="s">
        <v>101</v>
      </c>
      <c r="K19" s="10"/>
      <c r="L19" s="9"/>
      <c r="M19" s="23"/>
      <c r="N19" s="18"/>
    </row>
    <row r="20" spans="1:14">
      <c r="A20" s="5"/>
      <c r="G20" s="14"/>
      <c r="H20" s="5"/>
      <c r="N20" s="14"/>
    </row>
    <row r="21" spans="1:14">
      <c r="A21" s="5"/>
      <c r="G21" s="6"/>
      <c r="H21" s="5"/>
      <c r="N21" s="6"/>
    </row>
    <row r="22" spans="1:14">
      <c r="A22" s="5"/>
      <c r="G22" s="6"/>
      <c r="H22" s="5"/>
      <c r="N22" s="6"/>
    </row>
    <row r="23" spans="1:14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  <row r="25" spans="1:14">
      <c r="E25" s="78"/>
      <c r="F25" s="98"/>
      <c r="G25" s="78"/>
    </row>
    <row r="26" spans="1:14">
      <c r="F26" s="78"/>
      <c r="G26" s="78"/>
    </row>
    <row r="27" spans="1:14">
      <c r="G27" s="78"/>
    </row>
    <row r="28" spans="1:14">
      <c r="G28" s="99"/>
    </row>
    <row r="29" spans="1:14">
      <c r="G29" s="99"/>
    </row>
    <row r="31" spans="1:14">
      <c r="G31" s="99"/>
    </row>
  </sheetData>
  <mergeCells count="1">
    <mergeCell ref="E5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56"/>
  <sheetViews>
    <sheetView showGridLines="0" zoomScaleNormal="100" workbookViewId="0"/>
  </sheetViews>
  <sheetFormatPr defaultColWidth="9.1796875" defaultRowHeight="16"/>
  <cols>
    <col min="1" max="3" width="6.7265625" style="4" customWidth="1"/>
    <col min="4" max="4" width="11.54296875" style="46" bestFit="1" customWidth="1"/>
    <col min="5" max="5" width="6.54296875" style="4" customWidth="1"/>
    <col min="6" max="6" width="18.453125" style="4" bestFit="1" customWidth="1"/>
    <col min="7" max="7" width="12.453125" style="4" customWidth="1"/>
    <col min="8" max="8" width="5.26953125" style="4" customWidth="1"/>
    <col min="9" max="9" width="11.54296875" style="4" customWidth="1"/>
    <col min="10" max="10" width="8.54296875" style="4" customWidth="1"/>
    <col min="11" max="11" width="9.453125" style="4" customWidth="1"/>
    <col min="12" max="12" width="10.453125" style="4" customWidth="1"/>
    <col min="13" max="13" width="9.54296875" style="24" customWidth="1"/>
    <col min="14" max="14" width="9.26953125" style="24" customWidth="1"/>
    <col min="15" max="15" width="13.1796875" style="4" customWidth="1"/>
    <col min="16" max="16" width="8.1796875" style="4" customWidth="1"/>
    <col min="17" max="17" width="12.453125" style="4" customWidth="1"/>
    <col min="18" max="18" width="5.7265625" style="44" customWidth="1"/>
    <col min="19" max="19" width="22.54296875" style="4" customWidth="1"/>
    <col min="20" max="20" width="15.1796875" style="4" customWidth="1"/>
    <col min="21" max="21" width="17.81640625" style="4" customWidth="1"/>
    <col min="22" max="22" width="4.7265625" style="4" customWidth="1"/>
    <col min="23" max="23" width="20" style="4" customWidth="1"/>
    <col min="24" max="24" width="13.7265625" style="4" customWidth="1"/>
    <col min="25" max="25" width="11.54296875" style="4" customWidth="1"/>
    <col min="26" max="26" width="24.54296875" style="4" bestFit="1" customWidth="1"/>
    <col min="27" max="27" width="21" style="4" bestFit="1" customWidth="1"/>
    <col min="28" max="28" width="11.453125" style="4" bestFit="1" customWidth="1"/>
    <col min="29" max="16384" width="9.1796875" style="4"/>
  </cols>
  <sheetData>
    <row r="1" spans="3:28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79"/>
      <c r="T1" s="62"/>
      <c r="U1" s="62"/>
      <c r="V1" s="62"/>
      <c r="W1" s="77"/>
      <c r="X1" s="78"/>
      <c r="Y1" s="62"/>
      <c r="Z1" s="62"/>
      <c r="AA1" s="62"/>
      <c r="AB1" s="62"/>
    </row>
    <row r="2" spans="3:28"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79"/>
      <c r="T2" s="62"/>
      <c r="U2" s="62"/>
      <c r="V2" s="62"/>
      <c r="W2" s="77"/>
      <c r="X2" s="78"/>
      <c r="Y2" s="62"/>
      <c r="Z2" s="62"/>
      <c r="AA2" s="62"/>
      <c r="AB2" s="62"/>
    </row>
    <row r="3" spans="3:28"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79"/>
      <c r="T3" s="62"/>
      <c r="U3" s="62"/>
      <c r="V3" s="62"/>
      <c r="W3" s="77"/>
      <c r="X3" s="62"/>
      <c r="Y3" s="62"/>
      <c r="Z3" s="62"/>
      <c r="AA3" s="62"/>
      <c r="AB3" s="62"/>
    </row>
    <row r="5" spans="3:28"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109"/>
      <c r="O5" s="86"/>
      <c r="P5" s="87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3:28" ht="16.5" thickBot="1"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3:28">
      <c r="C7" s="62"/>
      <c r="D7" s="78"/>
      <c r="E7" s="72" t="s">
        <v>1</v>
      </c>
      <c r="F7" s="73" t="s">
        <v>64</v>
      </c>
      <c r="G7" s="73" t="s">
        <v>65</v>
      </c>
      <c r="H7" s="73" t="s">
        <v>67</v>
      </c>
      <c r="I7" s="73" t="s">
        <v>68</v>
      </c>
      <c r="J7" s="73" t="s">
        <v>69</v>
      </c>
      <c r="K7" s="73" t="s">
        <v>100</v>
      </c>
      <c r="L7" s="73" t="s">
        <v>70</v>
      </c>
      <c r="M7" s="73" t="s">
        <v>71</v>
      </c>
      <c r="N7" s="73" t="s">
        <v>72</v>
      </c>
      <c r="O7" s="73" t="s">
        <v>73</v>
      </c>
      <c r="P7" s="73" t="s">
        <v>0</v>
      </c>
      <c r="Q7" s="73" t="s">
        <v>155</v>
      </c>
      <c r="R7" s="82" t="s">
        <v>20</v>
      </c>
      <c r="S7" s="73" t="s">
        <v>28</v>
      </c>
      <c r="T7" s="73" t="s">
        <v>29</v>
      </c>
      <c r="U7" s="73" t="s">
        <v>27</v>
      </c>
      <c r="V7" s="73" t="s">
        <v>56</v>
      </c>
      <c r="W7" s="73" t="s">
        <v>58</v>
      </c>
      <c r="X7" s="73" t="s">
        <v>74</v>
      </c>
      <c r="Y7" s="73" t="s">
        <v>75</v>
      </c>
      <c r="Z7" s="73" t="s">
        <v>153</v>
      </c>
      <c r="AA7" s="73" t="s">
        <v>119</v>
      </c>
      <c r="AB7" s="73" t="s">
        <v>135</v>
      </c>
    </row>
    <row r="8" spans="3:28">
      <c r="C8" s="84"/>
      <c r="D8" s="84"/>
      <c r="E8" s="74" t="s">
        <v>78</v>
      </c>
      <c r="F8" s="74" t="s">
        <v>102</v>
      </c>
      <c r="G8" s="65" t="s">
        <v>103</v>
      </c>
      <c r="H8" s="64" t="s">
        <v>3</v>
      </c>
      <c r="I8" s="68">
        <v>9.11E-2</v>
      </c>
      <c r="J8" s="101">
        <v>9.5605952792130022E-2</v>
      </c>
      <c r="K8" s="69">
        <v>20500</v>
      </c>
      <c r="L8" s="69">
        <v>20500000</v>
      </c>
      <c r="M8" s="102">
        <v>20807423.450745001</v>
      </c>
      <c r="N8" s="102">
        <v>19864850.609655</v>
      </c>
      <c r="O8" s="71">
        <f t="shared" ref="O8:O24" si="0">N8/SUM($N:$N)</f>
        <v>9.7047494303223E-2</v>
      </c>
      <c r="P8" s="83" t="s">
        <v>6</v>
      </c>
      <c r="Q8" s="67" t="s">
        <v>6</v>
      </c>
      <c r="R8" s="68">
        <v>0.61</v>
      </c>
      <c r="S8" s="67" t="s">
        <v>4</v>
      </c>
      <c r="T8" s="91">
        <v>7.63</v>
      </c>
      <c r="U8" s="70">
        <v>14305</v>
      </c>
      <c r="V8" s="74" t="s">
        <v>15</v>
      </c>
      <c r="W8" s="80">
        <v>1.9</v>
      </c>
      <c r="X8" s="65" t="s">
        <v>104</v>
      </c>
      <c r="Y8" s="65" t="s">
        <v>60</v>
      </c>
      <c r="Z8" s="65" t="s">
        <v>15</v>
      </c>
      <c r="AA8" s="65" t="s">
        <v>15</v>
      </c>
      <c r="AB8" s="65" t="s">
        <v>15</v>
      </c>
    </row>
    <row r="9" spans="3:28">
      <c r="C9" s="84"/>
      <c r="D9" s="84"/>
      <c r="E9" s="74" t="s">
        <v>78</v>
      </c>
      <c r="F9" s="74" t="s">
        <v>89</v>
      </c>
      <c r="G9" s="65" t="s">
        <v>84</v>
      </c>
      <c r="H9" s="64" t="s">
        <v>3</v>
      </c>
      <c r="I9" s="68">
        <v>9.7000000000000003E-2</v>
      </c>
      <c r="J9" s="101">
        <v>0.10035526443040022</v>
      </c>
      <c r="K9" s="69">
        <v>20400</v>
      </c>
      <c r="L9" s="69">
        <v>20400000</v>
      </c>
      <c r="M9" s="102">
        <v>16789174.701347999</v>
      </c>
      <c r="N9" s="102">
        <v>16250964.3192</v>
      </c>
      <c r="O9" s="71">
        <f t="shared" si="0"/>
        <v>7.9392259130451753E-2</v>
      </c>
      <c r="P9" s="64" t="s">
        <v>2</v>
      </c>
      <c r="Q9" s="67" t="s">
        <v>5</v>
      </c>
      <c r="R9" s="68">
        <v>0.32</v>
      </c>
      <c r="S9" s="67" t="s">
        <v>94</v>
      </c>
      <c r="T9" s="91">
        <v>4.3</v>
      </c>
      <c r="U9" s="70">
        <v>48601</v>
      </c>
      <c r="V9" s="74" t="s">
        <v>15</v>
      </c>
      <c r="W9" s="80">
        <v>0.33</v>
      </c>
      <c r="X9" s="65" t="s">
        <v>66</v>
      </c>
      <c r="Y9" s="65" t="s">
        <v>63</v>
      </c>
      <c r="Z9" s="65" t="s">
        <v>15</v>
      </c>
      <c r="AA9" s="65" t="s">
        <v>122</v>
      </c>
      <c r="AB9" s="65" t="s">
        <v>136</v>
      </c>
    </row>
    <row r="10" spans="3:28">
      <c r="C10" s="84"/>
      <c r="D10" s="84"/>
      <c r="E10" s="74" t="s">
        <v>78</v>
      </c>
      <c r="F10" s="74" t="s">
        <v>99</v>
      </c>
      <c r="G10" s="65" t="s">
        <v>86</v>
      </c>
      <c r="H10" s="64" t="s">
        <v>87</v>
      </c>
      <c r="I10" s="68">
        <v>9.2999999999999999E-2</v>
      </c>
      <c r="J10" s="101">
        <v>9.4439693371794364E-2</v>
      </c>
      <c r="K10" s="69">
        <v>21236</v>
      </c>
      <c r="L10" s="69">
        <v>21236000</v>
      </c>
      <c r="M10" s="102">
        <v>16438289.554427959</v>
      </c>
      <c r="N10" s="102">
        <v>16197622.049036</v>
      </c>
      <c r="O10" s="71">
        <f t="shared" si="0"/>
        <v>7.9131661466689526E-2</v>
      </c>
      <c r="P10" s="67" t="s">
        <v>5</v>
      </c>
      <c r="Q10" s="67" t="s">
        <v>5</v>
      </c>
      <c r="R10" s="68">
        <v>0.40373238038514991</v>
      </c>
      <c r="S10" s="67" t="s">
        <v>95</v>
      </c>
      <c r="T10" s="91">
        <v>4.0999999999999996</v>
      </c>
      <c r="U10" s="70">
        <v>49232</v>
      </c>
      <c r="V10" s="74" t="s">
        <v>30</v>
      </c>
      <c r="W10" s="80">
        <v>0.31</v>
      </c>
      <c r="X10" s="65" t="s">
        <v>88</v>
      </c>
      <c r="Y10" s="65" t="s">
        <v>60</v>
      </c>
      <c r="Z10" s="65" t="s">
        <v>15</v>
      </c>
      <c r="AA10" s="65" t="s">
        <v>123</v>
      </c>
      <c r="AB10" s="65" t="s">
        <v>137</v>
      </c>
    </row>
    <row r="11" spans="3:28">
      <c r="C11" s="84"/>
      <c r="D11" s="84"/>
      <c r="E11" s="74" t="s">
        <v>78</v>
      </c>
      <c r="F11" s="74" t="s">
        <v>83</v>
      </c>
      <c r="G11" s="65" t="s">
        <v>85</v>
      </c>
      <c r="H11" s="64" t="s">
        <v>3</v>
      </c>
      <c r="I11" s="68">
        <v>9.5000000000000001E-2</v>
      </c>
      <c r="J11" s="101">
        <v>9.7059977219910998E-2</v>
      </c>
      <c r="K11" s="69">
        <v>24250</v>
      </c>
      <c r="L11" s="69">
        <v>24250000</v>
      </c>
      <c r="M11" s="102">
        <v>16249496.835452501</v>
      </c>
      <c r="N11" s="102">
        <v>15918555.151999999</v>
      </c>
      <c r="O11" s="71">
        <f t="shared" si="0"/>
        <v>7.776831151594002E-2</v>
      </c>
      <c r="P11" s="64" t="s">
        <v>2</v>
      </c>
      <c r="Q11" s="67" t="s">
        <v>98</v>
      </c>
      <c r="R11" s="68">
        <v>0.34154929577464788</v>
      </c>
      <c r="S11" s="67" t="s">
        <v>4</v>
      </c>
      <c r="T11" s="91">
        <v>4</v>
      </c>
      <c r="U11" s="70">
        <v>49232</v>
      </c>
      <c r="V11" s="74" t="s">
        <v>15</v>
      </c>
      <c r="W11" s="80">
        <v>0.34677400232768196</v>
      </c>
      <c r="X11" s="65" t="s">
        <v>66</v>
      </c>
      <c r="Y11" s="65" t="s">
        <v>61</v>
      </c>
      <c r="Z11" s="65" t="s">
        <v>15</v>
      </c>
      <c r="AA11" s="65" t="s">
        <v>15</v>
      </c>
      <c r="AB11" s="65" t="s">
        <v>15</v>
      </c>
    </row>
    <row r="12" spans="3:28">
      <c r="C12" s="84"/>
      <c r="D12" s="84"/>
      <c r="E12" s="74" t="s">
        <v>78</v>
      </c>
      <c r="F12" s="74" t="s">
        <v>141</v>
      </c>
      <c r="G12" s="65" t="s">
        <v>120</v>
      </c>
      <c r="H12" s="64" t="s">
        <v>3</v>
      </c>
      <c r="I12" s="68">
        <v>9.8000000000000004E-2</v>
      </c>
      <c r="J12" s="101">
        <v>0.10091765878796988</v>
      </c>
      <c r="K12" s="69">
        <v>13337</v>
      </c>
      <c r="L12" s="69">
        <v>13337000</v>
      </c>
      <c r="M12" s="102">
        <v>13350423.917762479</v>
      </c>
      <c r="N12" s="102">
        <v>12980494.427921001</v>
      </c>
      <c r="O12" s="71">
        <f t="shared" si="0"/>
        <v>6.3414746166498323E-2</v>
      </c>
      <c r="P12" s="67" t="s">
        <v>2</v>
      </c>
      <c r="Q12" s="67" t="s">
        <v>97</v>
      </c>
      <c r="R12" s="68">
        <v>0.53</v>
      </c>
      <c r="S12" s="67" t="s">
        <v>4</v>
      </c>
      <c r="T12" s="91">
        <v>4</v>
      </c>
      <c r="U12" s="70">
        <v>46593</v>
      </c>
      <c r="V12" s="68" t="s">
        <v>15</v>
      </c>
      <c r="W12" s="68" t="s">
        <v>15</v>
      </c>
      <c r="X12" s="65" t="s">
        <v>66</v>
      </c>
      <c r="Y12" s="65" t="s">
        <v>61</v>
      </c>
      <c r="Z12" s="110">
        <v>0.29020000000000001</v>
      </c>
      <c r="AA12" s="65" t="s">
        <v>128</v>
      </c>
      <c r="AB12" s="65" t="s">
        <v>15</v>
      </c>
    </row>
    <row r="13" spans="3:28">
      <c r="C13" s="84"/>
      <c r="D13" s="84"/>
      <c r="E13" s="74" t="s">
        <v>78</v>
      </c>
      <c r="F13" s="74" t="s">
        <v>105</v>
      </c>
      <c r="G13" s="65" t="s">
        <v>107</v>
      </c>
      <c r="H13" s="64" t="s">
        <v>3</v>
      </c>
      <c r="I13" s="68">
        <v>9.8000000000000004E-2</v>
      </c>
      <c r="J13" s="101">
        <v>0.1008650274680829</v>
      </c>
      <c r="K13" s="69">
        <v>17307</v>
      </c>
      <c r="L13" s="69">
        <v>14500609.970000001</v>
      </c>
      <c r="M13" s="102">
        <v>13329407.874549421</v>
      </c>
      <c r="N13" s="102">
        <v>12966534.219806999</v>
      </c>
      <c r="O13" s="71">
        <f t="shared" si="0"/>
        <v>6.3346545139264979E-2</v>
      </c>
      <c r="P13" s="83" t="s">
        <v>6</v>
      </c>
      <c r="Q13" s="67" t="s">
        <v>113</v>
      </c>
      <c r="R13" s="68">
        <v>0.5</v>
      </c>
      <c r="S13" s="67" t="s">
        <v>4</v>
      </c>
      <c r="T13" s="91">
        <v>3</v>
      </c>
      <c r="U13" s="70">
        <v>47352</v>
      </c>
      <c r="V13" s="74" t="s">
        <v>57</v>
      </c>
      <c r="W13" s="80" t="s">
        <v>15</v>
      </c>
      <c r="X13" s="65" t="s">
        <v>66</v>
      </c>
      <c r="Y13" s="65" t="s">
        <v>61</v>
      </c>
      <c r="Z13" s="65" t="s">
        <v>15</v>
      </c>
      <c r="AA13" s="65" t="s">
        <v>15</v>
      </c>
      <c r="AB13" s="65" t="s">
        <v>15</v>
      </c>
    </row>
    <row r="14" spans="3:28">
      <c r="C14" s="84"/>
      <c r="D14" s="84"/>
      <c r="E14" s="74" t="s">
        <v>78</v>
      </c>
      <c r="F14" s="74" t="s">
        <v>91</v>
      </c>
      <c r="G14" s="65" t="s">
        <v>79</v>
      </c>
      <c r="H14" s="64" t="s">
        <v>3</v>
      </c>
      <c r="I14" s="68">
        <v>0.1007</v>
      </c>
      <c r="J14" s="101">
        <v>0.11111960320273662</v>
      </c>
      <c r="K14" s="69">
        <v>21692020</v>
      </c>
      <c r="L14" s="69">
        <v>21999981.60794</v>
      </c>
      <c r="M14" s="102">
        <v>13624883.792636199</v>
      </c>
      <c r="N14" s="102">
        <v>12401696.598340001</v>
      </c>
      <c r="O14" s="71">
        <f t="shared" si="0"/>
        <v>6.05870944427205E-2</v>
      </c>
      <c r="P14" s="67" t="s">
        <v>2</v>
      </c>
      <c r="Q14" s="67" t="s">
        <v>5</v>
      </c>
      <c r="R14" s="68">
        <v>0.64530683154788249</v>
      </c>
      <c r="S14" s="67" t="s">
        <v>96</v>
      </c>
      <c r="T14" s="91">
        <v>5.1100000000000003</v>
      </c>
      <c r="U14" s="70">
        <v>49202</v>
      </c>
      <c r="V14" s="74" t="s">
        <v>30</v>
      </c>
      <c r="W14" s="80">
        <v>0.1875</v>
      </c>
      <c r="X14" s="65" t="s">
        <v>66</v>
      </c>
      <c r="Y14" s="65" t="s">
        <v>60</v>
      </c>
      <c r="Z14" s="65" t="s">
        <v>15</v>
      </c>
      <c r="AA14" s="65" t="s">
        <v>15</v>
      </c>
      <c r="AB14" s="65" t="s">
        <v>136</v>
      </c>
    </row>
    <row r="15" spans="3:28">
      <c r="C15" s="84"/>
      <c r="D15" s="84"/>
      <c r="E15" s="74" t="s">
        <v>78</v>
      </c>
      <c r="F15" s="74" t="s">
        <v>117</v>
      </c>
      <c r="G15" s="65" t="s">
        <v>118</v>
      </c>
      <c r="H15" s="64" t="s">
        <v>3</v>
      </c>
      <c r="I15" s="68">
        <v>0.11</v>
      </c>
      <c r="J15" s="101">
        <v>0.11437661921080555</v>
      </c>
      <c r="K15" s="69">
        <v>10629</v>
      </c>
      <c r="L15" s="69">
        <v>10641854.130000001</v>
      </c>
      <c r="M15" s="102">
        <v>10676001.51410364</v>
      </c>
      <c r="N15" s="102">
        <v>10286375.853753</v>
      </c>
      <c r="O15" s="71">
        <f t="shared" si="0"/>
        <v>5.025293276470516E-2</v>
      </c>
      <c r="P15" s="67" t="s">
        <v>2</v>
      </c>
      <c r="Q15" s="67" t="s">
        <v>97</v>
      </c>
      <c r="R15" s="68">
        <v>0.38</v>
      </c>
      <c r="S15" s="67" t="s">
        <v>4</v>
      </c>
      <c r="T15" s="91">
        <v>3</v>
      </c>
      <c r="U15" s="70">
        <v>46646</v>
      </c>
      <c r="V15" s="74" t="s">
        <v>57</v>
      </c>
      <c r="W15" s="80" t="s">
        <v>15</v>
      </c>
      <c r="X15" s="65" t="s">
        <v>66</v>
      </c>
      <c r="Y15" s="65" t="s">
        <v>61</v>
      </c>
      <c r="Z15" s="110">
        <v>0.1603</v>
      </c>
      <c r="AA15" s="65" t="s">
        <v>125</v>
      </c>
      <c r="AB15" s="65" t="s">
        <v>15</v>
      </c>
    </row>
    <row r="16" spans="3:28">
      <c r="C16" s="84"/>
      <c r="D16" s="84"/>
      <c r="E16" s="74" t="s">
        <v>78</v>
      </c>
      <c r="F16" s="74" t="s">
        <v>9</v>
      </c>
      <c r="G16" s="65" t="s">
        <v>13</v>
      </c>
      <c r="H16" s="64" t="s">
        <v>3</v>
      </c>
      <c r="I16" s="68">
        <v>0.11</v>
      </c>
      <c r="J16" s="101">
        <v>0.1075829356669229</v>
      </c>
      <c r="K16" s="69">
        <v>7096</v>
      </c>
      <c r="L16" s="69">
        <v>7063035.8099856805</v>
      </c>
      <c r="M16" s="102">
        <v>6963820.74249632</v>
      </c>
      <c r="N16" s="102">
        <v>7113033.8202720005</v>
      </c>
      <c r="O16" s="71">
        <f t="shared" si="0"/>
        <v>3.474992703020726E-2</v>
      </c>
      <c r="P16" s="67" t="s">
        <v>6</v>
      </c>
      <c r="Q16" s="67" t="s">
        <v>154</v>
      </c>
      <c r="R16" s="68">
        <v>0.77011494252873569</v>
      </c>
      <c r="S16" s="67" t="s">
        <v>4</v>
      </c>
      <c r="T16" s="91">
        <v>3.1</v>
      </c>
      <c r="U16" s="70">
        <v>48871</v>
      </c>
      <c r="V16" s="74" t="s">
        <v>15</v>
      </c>
      <c r="W16" s="80" t="s">
        <v>15</v>
      </c>
      <c r="X16" s="65" t="s">
        <v>66</v>
      </c>
      <c r="Y16" s="65" t="s">
        <v>60</v>
      </c>
      <c r="Z16" s="65" t="s">
        <v>15</v>
      </c>
      <c r="AA16" s="65" t="s">
        <v>126</v>
      </c>
      <c r="AB16" s="65" t="s">
        <v>15</v>
      </c>
    </row>
    <row r="17" spans="3:28">
      <c r="C17" s="84"/>
      <c r="D17" s="84"/>
      <c r="E17" s="74" t="s">
        <v>78</v>
      </c>
      <c r="F17" s="74" t="s">
        <v>111</v>
      </c>
      <c r="G17" s="65" t="s">
        <v>109</v>
      </c>
      <c r="H17" s="64" t="s">
        <v>7</v>
      </c>
      <c r="I17" s="68">
        <v>0.16</v>
      </c>
      <c r="J17" s="101">
        <v>0.16000000204181553</v>
      </c>
      <c r="K17" s="69">
        <v>6000</v>
      </c>
      <c r="L17" s="69">
        <v>6000000</v>
      </c>
      <c r="M17" s="102">
        <v>6772827.4888199996</v>
      </c>
      <c r="N17" s="102">
        <v>6772827.4079999998</v>
      </c>
      <c r="O17" s="71">
        <f t="shared" si="0"/>
        <v>3.3087886851518984E-2</v>
      </c>
      <c r="P17" s="83" t="s">
        <v>2</v>
      </c>
      <c r="Q17" s="67" t="s">
        <v>114</v>
      </c>
      <c r="R17" s="90" t="s">
        <v>15</v>
      </c>
      <c r="S17" s="67" t="s">
        <v>93</v>
      </c>
      <c r="T17" s="68" t="s">
        <v>15</v>
      </c>
      <c r="U17" s="70">
        <v>47224</v>
      </c>
      <c r="V17" s="68" t="s">
        <v>15</v>
      </c>
      <c r="W17" s="68" t="s">
        <v>15</v>
      </c>
      <c r="X17" s="65" t="s">
        <v>66</v>
      </c>
      <c r="Y17" s="65" t="s">
        <v>115</v>
      </c>
      <c r="Z17" s="65" t="s">
        <v>15</v>
      </c>
      <c r="AA17" s="65" t="s">
        <v>15</v>
      </c>
      <c r="AB17" s="65" t="s">
        <v>15</v>
      </c>
    </row>
    <row r="18" spans="3:28">
      <c r="C18" s="84"/>
      <c r="D18" s="84"/>
      <c r="E18" s="74" t="s">
        <v>78</v>
      </c>
      <c r="F18" s="74" t="s">
        <v>90</v>
      </c>
      <c r="G18" s="65" t="s">
        <v>12</v>
      </c>
      <c r="H18" s="64" t="s">
        <v>3</v>
      </c>
      <c r="I18" s="68">
        <v>0.109</v>
      </c>
      <c r="J18" s="101">
        <v>0.10845728257541909</v>
      </c>
      <c r="K18" s="69">
        <v>20455</v>
      </c>
      <c r="L18" s="69">
        <v>20459483.270013601</v>
      </c>
      <c r="M18" s="102">
        <v>6468276.6416731505</v>
      </c>
      <c r="N18" s="102">
        <v>6499158.2929849997</v>
      </c>
      <c r="O18" s="71">
        <f t="shared" si="0"/>
        <v>3.1750907157975371E-2</v>
      </c>
      <c r="P18" s="67" t="s">
        <v>2</v>
      </c>
      <c r="Q18" s="67" t="s">
        <v>97</v>
      </c>
      <c r="R18" s="68">
        <v>0.33</v>
      </c>
      <c r="S18" s="67" t="s">
        <v>4</v>
      </c>
      <c r="T18" s="91">
        <v>3</v>
      </c>
      <c r="U18" s="70">
        <v>45962</v>
      </c>
      <c r="V18" s="74" t="s">
        <v>57</v>
      </c>
      <c r="W18" s="80" t="s">
        <v>15</v>
      </c>
      <c r="X18" s="65" t="s">
        <v>66</v>
      </c>
      <c r="Y18" s="65" t="s">
        <v>61</v>
      </c>
      <c r="Z18" s="65" t="s">
        <v>157</v>
      </c>
      <c r="AA18" s="65" t="s">
        <v>124</v>
      </c>
      <c r="AB18" s="65" t="s">
        <v>15</v>
      </c>
    </row>
    <row r="19" spans="3:28">
      <c r="C19" s="84"/>
      <c r="D19" s="84"/>
      <c r="E19" s="74" t="s">
        <v>78</v>
      </c>
      <c r="F19" s="74" t="s">
        <v>77</v>
      </c>
      <c r="G19" s="65" t="s">
        <v>76</v>
      </c>
      <c r="H19" s="64" t="s">
        <v>3</v>
      </c>
      <c r="I19" s="68">
        <v>0.12</v>
      </c>
      <c r="J19" s="101">
        <v>0.12023225101930368</v>
      </c>
      <c r="K19" s="69">
        <v>8609</v>
      </c>
      <c r="L19" s="69">
        <v>8636237.58000114</v>
      </c>
      <c r="M19" s="102">
        <v>6034543.7714396399</v>
      </c>
      <c r="N19" s="102">
        <v>6023471.0481639998</v>
      </c>
      <c r="O19" s="71">
        <f t="shared" si="0"/>
        <v>2.9426990603604482E-2</v>
      </c>
      <c r="P19" s="64" t="s">
        <v>6</v>
      </c>
      <c r="Q19" s="64" t="s">
        <v>97</v>
      </c>
      <c r="R19" s="65">
        <v>0.75</v>
      </c>
      <c r="S19" s="64" t="s">
        <v>4</v>
      </c>
      <c r="T19" s="93">
        <v>2.1833333333333331</v>
      </c>
      <c r="U19" s="66">
        <v>46997</v>
      </c>
      <c r="V19" s="74" t="s">
        <v>30</v>
      </c>
      <c r="W19" s="80">
        <v>0.25</v>
      </c>
      <c r="X19" s="65" t="s">
        <v>66</v>
      </c>
      <c r="Y19" s="65" t="s">
        <v>61</v>
      </c>
      <c r="Z19" s="110">
        <v>0.75</v>
      </c>
      <c r="AA19" s="65" t="s">
        <v>129</v>
      </c>
      <c r="AB19" s="65" t="s">
        <v>15</v>
      </c>
    </row>
    <row r="20" spans="3:28">
      <c r="C20" s="84"/>
      <c r="D20" s="84"/>
      <c r="E20" s="74" t="s">
        <v>78</v>
      </c>
      <c r="F20" s="74" t="s">
        <v>112</v>
      </c>
      <c r="G20" s="65" t="s">
        <v>110</v>
      </c>
      <c r="H20" s="64" t="s">
        <v>7</v>
      </c>
      <c r="I20" s="68">
        <v>0.16</v>
      </c>
      <c r="J20" s="101">
        <v>0.16000000204181553</v>
      </c>
      <c r="K20" s="69">
        <v>4000</v>
      </c>
      <c r="L20" s="69">
        <v>4000000</v>
      </c>
      <c r="M20" s="102">
        <v>4515218.3258799994</v>
      </c>
      <c r="N20" s="102">
        <v>4515218.2719999999</v>
      </c>
      <c r="O20" s="71">
        <f t="shared" si="0"/>
        <v>2.2058591234345989E-2</v>
      </c>
      <c r="P20" s="83" t="s">
        <v>2</v>
      </c>
      <c r="Q20" s="67" t="s">
        <v>114</v>
      </c>
      <c r="R20" s="90" t="s">
        <v>15</v>
      </c>
      <c r="S20" s="67" t="s">
        <v>93</v>
      </c>
      <c r="T20" s="68" t="s">
        <v>15</v>
      </c>
      <c r="U20" s="70">
        <v>47224</v>
      </c>
      <c r="V20" s="68" t="s">
        <v>15</v>
      </c>
      <c r="W20" s="68" t="s">
        <v>15</v>
      </c>
      <c r="X20" s="65" t="s">
        <v>66</v>
      </c>
      <c r="Y20" s="65" t="s">
        <v>115</v>
      </c>
      <c r="Z20" s="65" t="s">
        <v>15</v>
      </c>
      <c r="AA20" s="65" t="s">
        <v>15</v>
      </c>
      <c r="AB20" s="65" t="s">
        <v>15</v>
      </c>
    </row>
    <row r="21" spans="3:28">
      <c r="C21" s="84"/>
      <c r="D21" s="84"/>
      <c r="E21" s="74" t="s">
        <v>78</v>
      </c>
      <c r="F21" s="74" t="s">
        <v>140</v>
      </c>
      <c r="G21" s="65" t="s">
        <v>139</v>
      </c>
      <c r="H21" s="64" t="s">
        <v>3</v>
      </c>
      <c r="I21" s="68">
        <v>9.5699999999999993E-2</v>
      </c>
      <c r="J21" s="101">
        <v>0.10482289735237438</v>
      </c>
      <c r="K21" s="69">
        <v>5201550</v>
      </c>
      <c r="L21" s="69">
        <v>5000000.3405999998</v>
      </c>
      <c r="M21" s="102">
        <v>4901685.0638175001</v>
      </c>
      <c r="N21" s="102">
        <v>4492417.4869499998</v>
      </c>
      <c r="O21" s="71">
        <f t="shared" si="0"/>
        <v>2.1947200562413456E-2</v>
      </c>
      <c r="P21" s="83" t="s">
        <v>2</v>
      </c>
      <c r="Q21" s="67" t="s">
        <v>5</v>
      </c>
      <c r="R21" s="68">
        <v>0.63270000000000004</v>
      </c>
      <c r="S21" s="67" t="s">
        <v>96</v>
      </c>
      <c r="T21" s="91">
        <v>3.5</v>
      </c>
      <c r="U21" s="88">
        <v>12128</v>
      </c>
      <c r="V21" s="68" t="s">
        <v>30</v>
      </c>
      <c r="W21" s="89">
        <v>0.1825</v>
      </c>
      <c r="X21" s="65" t="s">
        <v>104</v>
      </c>
      <c r="Y21" s="65" t="s">
        <v>60</v>
      </c>
      <c r="Z21" s="65" t="s">
        <v>15</v>
      </c>
      <c r="AA21" s="65" t="s">
        <v>15</v>
      </c>
      <c r="AB21" s="65" t="s">
        <v>136</v>
      </c>
    </row>
    <row r="22" spans="3:28">
      <c r="C22" s="84"/>
      <c r="D22" s="84"/>
      <c r="E22" s="74" t="s">
        <v>78</v>
      </c>
      <c r="F22" s="74" t="s">
        <v>130</v>
      </c>
      <c r="G22" s="65" t="s">
        <v>131</v>
      </c>
      <c r="H22" s="64" t="s">
        <v>3</v>
      </c>
      <c r="I22" s="68">
        <v>0.109</v>
      </c>
      <c r="J22" s="101">
        <v>0.11275371983035654</v>
      </c>
      <c r="K22" s="69">
        <v>4513</v>
      </c>
      <c r="L22" s="69">
        <v>4516882.5600000089</v>
      </c>
      <c r="M22" s="102">
        <v>4522023.4499293501</v>
      </c>
      <c r="N22" s="102">
        <v>4378383.5643039998</v>
      </c>
      <c r="O22" s="71">
        <f t="shared" si="0"/>
        <v>2.139010065384515E-2</v>
      </c>
      <c r="P22" s="67" t="s">
        <v>2</v>
      </c>
      <c r="Q22" s="67" t="s">
        <v>97</v>
      </c>
      <c r="R22" s="68">
        <v>0.57073170731707312</v>
      </c>
      <c r="S22" s="67" t="s">
        <v>4</v>
      </c>
      <c r="T22" s="91">
        <v>3</v>
      </c>
      <c r="U22" s="70">
        <v>46590</v>
      </c>
      <c r="V22" s="74" t="s">
        <v>15</v>
      </c>
      <c r="W22" s="80" t="s">
        <v>15</v>
      </c>
      <c r="X22" s="65" t="s">
        <v>133</v>
      </c>
      <c r="Y22" s="65" t="s">
        <v>132</v>
      </c>
      <c r="Z22" s="110">
        <v>0.40400000000000003</v>
      </c>
      <c r="AA22" s="65" t="s">
        <v>134</v>
      </c>
      <c r="AB22" s="65" t="s">
        <v>15</v>
      </c>
    </row>
    <row r="23" spans="3:28">
      <c r="C23" s="84"/>
      <c r="D23" s="84"/>
      <c r="E23" s="74" t="s">
        <v>78</v>
      </c>
      <c r="F23" s="74" t="s">
        <v>10</v>
      </c>
      <c r="G23" s="65" t="s">
        <v>14</v>
      </c>
      <c r="H23" s="64" t="s">
        <v>59</v>
      </c>
      <c r="I23" s="68">
        <v>0.05</v>
      </c>
      <c r="J23" s="101">
        <v>4.9570751331236673E-2</v>
      </c>
      <c r="K23" s="69">
        <v>4000</v>
      </c>
      <c r="L23" s="69">
        <v>4000000</v>
      </c>
      <c r="M23" s="102">
        <v>3566708.8213599999</v>
      </c>
      <c r="N23" s="102">
        <v>3596914</v>
      </c>
      <c r="O23" s="71">
        <f t="shared" si="0"/>
        <v>1.7572318955901049E-2</v>
      </c>
      <c r="P23" s="67" t="s">
        <v>2</v>
      </c>
      <c r="Q23" s="67" t="s">
        <v>97</v>
      </c>
      <c r="R23" s="68">
        <v>0.44679999999999997</v>
      </c>
      <c r="S23" s="67" t="s">
        <v>4</v>
      </c>
      <c r="T23" s="91">
        <v>2.4</v>
      </c>
      <c r="U23" s="70">
        <v>46071</v>
      </c>
      <c r="V23" s="74" t="s">
        <v>15</v>
      </c>
      <c r="W23" s="80" t="s">
        <v>15</v>
      </c>
      <c r="X23" s="65" t="s">
        <v>66</v>
      </c>
      <c r="Y23" s="65" t="s">
        <v>62</v>
      </c>
      <c r="Z23" s="65" t="s">
        <v>157</v>
      </c>
      <c r="AA23" s="65" t="s">
        <v>127</v>
      </c>
      <c r="AB23" s="65" t="s">
        <v>15</v>
      </c>
    </row>
    <row r="24" spans="3:28">
      <c r="C24" s="84"/>
      <c r="D24" s="84"/>
      <c r="E24" s="74" t="s">
        <v>78</v>
      </c>
      <c r="F24" s="74" t="s">
        <v>106</v>
      </c>
      <c r="G24" s="65" t="s">
        <v>108</v>
      </c>
      <c r="H24" s="64" t="s">
        <v>7</v>
      </c>
      <c r="I24" s="68">
        <v>0.16</v>
      </c>
      <c r="J24" s="101">
        <v>0.16000000008493576</v>
      </c>
      <c r="K24" s="69">
        <v>2500</v>
      </c>
      <c r="L24" s="69">
        <v>2500000</v>
      </c>
      <c r="M24" s="102">
        <v>2618883.4087999999</v>
      </c>
      <c r="N24" s="102">
        <v>2618883.4075000002</v>
      </c>
      <c r="O24" s="71">
        <f t="shared" si="0"/>
        <v>1.2794260453518485E-2</v>
      </c>
      <c r="P24" s="83" t="s">
        <v>2</v>
      </c>
      <c r="Q24" s="67" t="s">
        <v>114</v>
      </c>
      <c r="R24" s="90" t="s">
        <v>15</v>
      </c>
      <c r="S24" s="67" t="s">
        <v>93</v>
      </c>
      <c r="T24" s="68" t="s">
        <v>15</v>
      </c>
      <c r="U24" s="70">
        <v>47224</v>
      </c>
      <c r="V24" s="68" t="s">
        <v>15</v>
      </c>
      <c r="W24" s="68" t="s">
        <v>15</v>
      </c>
      <c r="X24" s="65" t="s">
        <v>66</v>
      </c>
      <c r="Y24" s="65" t="s">
        <v>115</v>
      </c>
      <c r="Z24" s="65" t="s">
        <v>15</v>
      </c>
      <c r="AA24" s="65" t="s">
        <v>15</v>
      </c>
      <c r="AB24" s="65" t="s">
        <v>15</v>
      </c>
    </row>
    <row r="25" spans="3:28">
      <c r="C25" s="84"/>
      <c r="D25" s="62"/>
      <c r="E25" s="62"/>
      <c r="F25" s="62"/>
      <c r="G25" s="62"/>
      <c r="H25" s="62"/>
      <c r="I25" s="62"/>
      <c r="J25" s="62"/>
      <c r="K25" s="62"/>
      <c r="L25" s="69"/>
      <c r="M25" s="62"/>
      <c r="N25" s="62"/>
      <c r="O25" s="62"/>
      <c r="P25" s="62"/>
      <c r="Q25" s="108"/>
      <c r="R25" s="62"/>
      <c r="S25" s="62"/>
      <c r="T25" s="62"/>
      <c r="U25" s="62"/>
      <c r="V25" s="62"/>
      <c r="W25" s="62"/>
      <c r="X25" s="62"/>
      <c r="Y25" s="62"/>
      <c r="Z25" s="62"/>
      <c r="AA25" s="62"/>
    </row>
    <row r="26" spans="3:28">
      <c r="C26" s="84"/>
      <c r="D26" s="62"/>
      <c r="E26" s="74"/>
      <c r="F26" s="74"/>
      <c r="G26" s="65"/>
      <c r="H26" s="64"/>
      <c r="I26" s="68"/>
      <c r="J26" s="68"/>
      <c r="K26" s="69"/>
      <c r="L26" s="69"/>
      <c r="M26" s="62"/>
      <c r="N26" s="62"/>
      <c r="O26" s="71"/>
      <c r="P26" s="83"/>
      <c r="Q26" s="67"/>
      <c r="R26" s="68"/>
      <c r="S26" s="67"/>
      <c r="T26" s="91"/>
      <c r="U26" s="70"/>
      <c r="V26" s="74"/>
      <c r="W26" s="80"/>
      <c r="X26" s="65"/>
      <c r="Y26" s="65"/>
      <c r="Z26" s="65"/>
      <c r="AA26" s="62"/>
    </row>
    <row r="27" spans="3:28">
      <c r="C27" s="84"/>
      <c r="D27" s="84"/>
      <c r="E27" s="74" t="s">
        <v>92</v>
      </c>
      <c r="F27" s="74" t="s">
        <v>116</v>
      </c>
      <c r="G27" s="65" t="s">
        <v>15</v>
      </c>
      <c r="H27" s="64" t="s">
        <v>7</v>
      </c>
      <c r="I27" s="68">
        <v>0.3994094929817591</v>
      </c>
      <c r="J27" s="68">
        <v>0.3994094929817591</v>
      </c>
      <c r="K27" s="69" t="s">
        <v>15</v>
      </c>
      <c r="L27" s="69">
        <v>990970.35</v>
      </c>
      <c r="M27" s="69">
        <v>4391685.229997959</v>
      </c>
      <c r="N27" s="69">
        <v>4391685.229997959</v>
      </c>
      <c r="O27" s="71">
        <f t="shared" ref="O27:O33" si="1">N27/SUM($N:$N)</f>
        <v>2.1455084446123481E-2</v>
      </c>
      <c r="P27" s="67" t="s">
        <v>2</v>
      </c>
      <c r="Q27" s="67" t="s">
        <v>8</v>
      </c>
      <c r="R27" s="68" t="s">
        <v>15</v>
      </c>
      <c r="S27" s="67" t="s">
        <v>93</v>
      </c>
      <c r="T27" s="68" t="s">
        <v>15</v>
      </c>
      <c r="U27" s="70">
        <v>46844</v>
      </c>
      <c r="V27" s="68" t="s">
        <v>15</v>
      </c>
      <c r="W27" s="68" t="s">
        <v>15</v>
      </c>
      <c r="X27" s="65" t="s">
        <v>15</v>
      </c>
      <c r="Y27" s="68" t="s">
        <v>15</v>
      </c>
      <c r="Z27" s="68" t="s">
        <v>15</v>
      </c>
      <c r="AA27" s="68" t="s">
        <v>15</v>
      </c>
    </row>
    <row r="28" spans="3:28">
      <c r="C28" s="84"/>
      <c r="D28" s="84"/>
      <c r="E28" s="74" t="s">
        <v>11</v>
      </c>
      <c r="F28" s="74" t="s">
        <v>121</v>
      </c>
      <c r="G28" s="65" t="s">
        <v>15</v>
      </c>
      <c r="H28" s="64" t="s">
        <v>11</v>
      </c>
      <c r="I28" s="65" t="s">
        <v>15</v>
      </c>
      <c r="J28" s="65" t="s">
        <v>15</v>
      </c>
      <c r="K28" s="94" t="s">
        <v>15</v>
      </c>
      <c r="L28" s="95">
        <v>31924005.789999995</v>
      </c>
      <c r="M28" s="69">
        <v>31924005.789999995</v>
      </c>
      <c r="N28" s="69">
        <v>31924005.789999995</v>
      </c>
      <c r="O28" s="71">
        <f t="shared" si="1"/>
        <v>0.15596114115931373</v>
      </c>
      <c r="P28" s="67" t="s">
        <v>11</v>
      </c>
      <c r="Q28" s="74" t="s">
        <v>15</v>
      </c>
      <c r="R28" s="68" t="s">
        <v>15</v>
      </c>
      <c r="S28" s="74" t="s">
        <v>15</v>
      </c>
      <c r="T28" s="92" t="s">
        <v>15</v>
      </c>
      <c r="U28" s="74" t="s">
        <v>15</v>
      </c>
      <c r="V28" s="74" t="s">
        <v>15</v>
      </c>
      <c r="W28" s="67" t="s">
        <v>15</v>
      </c>
      <c r="X28" s="74" t="s">
        <v>15</v>
      </c>
      <c r="Y28" s="74" t="s">
        <v>15</v>
      </c>
      <c r="Z28" s="74" t="s">
        <v>15</v>
      </c>
      <c r="AA28" s="74" t="s">
        <v>15</v>
      </c>
    </row>
    <row r="29" spans="3:28">
      <c r="C29" s="84"/>
      <c r="D29" s="84"/>
      <c r="E29" s="74" t="s">
        <v>143</v>
      </c>
      <c r="F29" s="74" t="s">
        <v>144</v>
      </c>
      <c r="G29" s="65" t="s">
        <v>15</v>
      </c>
      <c r="H29" s="64" t="s">
        <v>3</v>
      </c>
      <c r="I29" s="68" t="s">
        <v>15</v>
      </c>
      <c r="J29" s="68" t="s">
        <v>15</v>
      </c>
      <c r="K29" s="69" t="s">
        <v>15</v>
      </c>
      <c r="L29" s="69">
        <v>3398346.75</v>
      </c>
      <c r="M29" s="69">
        <v>3398346.75</v>
      </c>
      <c r="N29" s="69">
        <v>3398346.75</v>
      </c>
      <c r="O29" s="71">
        <f t="shared" si="1"/>
        <v>1.6602240980393115E-2</v>
      </c>
      <c r="P29" s="83" t="s">
        <v>145</v>
      </c>
      <c r="Q29" s="67" t="s">
        <v>146</v>
      </c>
      <c r="R29" s="90" t="s">
        <v>15</v>
      </c>
      <c r="S29" s="67" t="s">
        <v>15</v>
      </c>
      <c r="T29" s="68" t="s">
        <v>15</v>
      </c>
      <c r="U29" s="70" t="s">
        <v>15</v>
      </c>
      <c r="V29" s="68" t="s">
        <v>15</v>
      </c>
      <c r="W29" s="68" t="s">
        <v>15</v>
      </c>
      <c r="X29" s="65" t="s">
        <v>15</v>
      </c>
      <c r="Y29" s="65" t="s">
        <v>15</v>
      </c>
      <c r="Z29" s="65" t="s">
        <v>15</v>
      </c>
      <c r="AA29" s="65" t="s">
        <v>15</v>
      </c>
    </row>
    <row r="30" spans="3:28">
      <c r="C30" s="62"/>
      <c r="D30" s="62"/>
      <c r="E30" s="74" t="s">
        <v>143</v>
      </c>
      <c r="F30" s="74" t="s">
        <v>149</v>
      </c>
      <c r="G30" s="65" t="s">
        <v>15</v>
      </c>
      <c r="H30" s="64" t="s">
        <v>59</v>
      </c>
      <c r="I30" s="68" t="s">
        <v>15</v>
      </c>
      <c r="J30" s="68" t="s">
        <v>15</v>
      </c>
      <c r="K30" s="69" t="s">
        <v>15</v>
      </c>
      <c r="L30" s="69">
        <v>178657.5</v>
      </c>
      <c r="M30" s="69">
        <v>178657.5</v>
      </c>
      <c r="N30" s="69">
        <v>178657.5</v>
      </c>
      <c r="O30" s="71">
        <f t="shared" si="1"/>
        <v>8.7281113028109421E-4</v>
      </c>
      <c r="P30" s="83" t="s">
        <v>145</v>
      </c>
      <c r="Q30" s="67" t="s">
        <v>146</v>
      </c>
      <c r="R30" s="90" t="s">
        <v>15</v>
      </c>
      <c r="S30" s="67" t="s">
        <v>15</v>
      </c>
      <c r="T30" s="68" t="s">
        <v>15</v>
      </c>
      <c r="U30" s="70" t="s">
        <v>15</v>
      </c>
      <c r="V30" s="68" t="s">
        <v>15</v>
      </c>
      <c r="W30" s="68" t="s">
        <v>15</v>
      </c>
      <c r="X30" s="65" t="s">
        <v>15</v>
      </c>
      <c r="Y30" s="65" t="s">
        <v>15</v>
      </c>
      <c r="Z30" s="65" t="s">
        <v>15</v>
      </c>
      <c r="AA30" s="65" t="s">
        <v>15</v>
      </c>
    </row>
    <row r="31" spans="3:28">
      <c r="C31" s="62"/>
      <c r="D31" s="62"/>
      <c r="E31" s="74" t="s">
        <v>143</v>
      </c>
      <c r="F31" s="74" t="s">
        <v>150</v>
      </c>
      <c r="G31" s="65" t="s">
        <v>15</v>
      </c>
      <c r="H31" s="64" t="s">
        <v>59</v>
      </c>
      <c r="I31" s="68" t="s">
        <v>15</v>
      </c>
      <c r="J31" s="68" t="s">
        <v>15</v>
      </c>
      <c r="K31" s="69" t="s">
        <v>15</v>
      </c>
      <c r="L31" s="69">
        <v>1206645.55</v>
      </c>
      <c r="M31" s="69">
        <v>1206645.55</v>
      </c>
      <c r="N31" s="69">
        <v>1206645.55</v>
      </c>
      <c r="O31" s="71">
        <f t="shared" si="1"/>
        <v>5.8949311747010487E-3</v>
      </c>
      <c r="P31" s="83" t="s">
        <v>145</v>
      </c>
      <c r="Q31" s="67" t="s">
        <v>146</v>
      </c>
      <c r="R31" s="90" t="s">
        <v>15</v>
      </c>
      <c r="S31" s="67" t="s">
        <v>15</v>
      </c>
      <c r="T31" s="68" t="s">
        <v>15</v>
      </c>
      <c r="U31" s="70" t="s">
        <v>15</v>
      </c>
      <c r="V31" s="68" t="s">
        <v>15</v>
      </c>
      <c r="W31" s="68" t="s">
        <v>15</v>
      </c>
      <c r="X31" s="65" t="s">
        <v>15</v>
      </c>
      <c r="Y31" s="65" t="s">
        <v>15</v>
      </c>
      <c r="Z31" s="65" t="s">
        <v>15</v>
      </c>
      <c r="AA31" s="65" t="s">
        <v>15</v>
      </c>
    </row>
    <row r="32" spans="3:28">
      <c r="C32" s="62"/>
      <c r="D32" s="62"/>
      <c r="E32" s="74" t="s">
        <v>143</v>
      </c>
      <c r="F32" s="74" t="s">
        <v>151</v>
      </c>
      <c r="G32" s="65" t="s">
        <v>15</v>
      </c>
      <c r="H32" s="64" t="s">
        <v>3</v>
      </c>
      <c r="I32" s="68" t="s">
        <v>15</v>
      </c>
      <c r="J32" s="68" t="s">
        <v>15</v>
      </c>
      <c r="K32" s="69" t="s">
        <v>15</v>
      </c>
      <c r="L32" s="69">
        <v>75858.959999999992</v>
      </c>
      <c r="M32" s="69">
        <v>75858.959999999992</v>
      </c>
      <c r="N32" s="69">
        <v>75858.959999999992</v>
      </c>
      <c r="O32" s="71">
        <f t="shared" si="1"/>
        <v>3.7060042046680553E-4</v>
      </c>
      <c r="P32" s="83" t="s">
        <v>145</v>
      </c>
      <c r="Q32" s="67" t="s">
        <v>146</v>
      </c>
      <c r="R32" s="90" t="s">
        <v>15</v>
      </c>
      <c r="S32" s="67" t="s">
        <v>15</v>
      </c>
      <c r="T32" s="68" t="s">
        <v>15</v>
      </c>
      <c r="U32" s="70" t="s">
        <v>15</v>
      </c>
      <c r="V32" s="68" t="s">
        <v>15</v>
      </c>
      <c r="W32" s="68" t="s">
        <v>15</v>
      </c>
      <c r="X32" s="65" t="s">
        <v>15</v>
      </c>
      <c r="Y32" s="65" t="s">
        <v>15</v>
      </c>
      <c r="Z32" s="65" t="s">
        <v>15</v>
      </c>
      <c r="AA32" s="65" t="s">
        <v>15</v>
      </c>
    </row>
    <row r="33" spans="5:27">
      <c r="E33" s="112" t="s">
        <v>143</v>
      </c>
      <c r="F33" s="74" t="s">
        <v>152</v>
      </c>
      <c r="G33" s="65" t="s">
        <v>15</v>
      </c>
      <c r="H33" s="64" t="s">
        <v>3</v>
      </c>
      <c r="I33" s="68" t="s">
        <v>15</v>
      </c>
      <c r="J33" s="68" t="s">
        <v>15</v>
      </c>
      <c r="K33" s="69" t="s">
        <v>15</v>
      </c>
      <c r="L33" s="69">
        <v>639450.24000000011</v>
      </c>
      <c r="M33" s="69">
        <v>639450.24000000011</v>
      </c>
      <c r="N33" s="69">
        <v>639450.24000000011</v>
      </c>
      <c r="O33" s="71">
        <f t="shared" si="1"/>
        <v>3.1239622558969929E-3</v>
      </c>
      <c r="P33" s="83" t="s">
        <v>145</v>
      </c>
      <c r="Q33" s="67" t="s">
        <v>146</v>
      </c>
      <c r="R33" s="90" t="s">
        <v>15</v>
      </c>
      <c r="S33" s="67" t="s">
        <v>15</v>
      </c>
      <c r="T33" s="68" t="s">
        <v>15</v>
      </c>
      <c r="U33" s="70" t="s">
        <v>15</v>
      </c>
      <c r="V33" s="68" t="s">
        <v>15</v>
      </c>
      <c r="W33" s="68" t="s">
        <v>15</v>
      </c>
      <c r="X33" s="65" t="s">
        <v>15</v>
      </c>
      <c r="Y33" s="65" t="s">
        <v>15</v>
      </c>
      <c r="Z33" s="65" t="s">
        <v>15</v>
      </c>
      <c r="AA33" s="65" t="s">
        <v>15</v>
      </c>
    </row>
    <row r="34" spans="5:27">
      <c r="E34" s="111"/>
    </row>
    <row r="35" spans="5:27">
      <c r="E35" s="85" t="s">
        <v>142</v>
      </c>
    </row>
    <row r="36" spans="5:27">
      <c r="E36" s="111" t="s">
        <v>156</v>
      </c>
    </row>
    <row r="39" spans="5:27">
      <c r="F39" s="62"/>
      <c r="G39" s="62"/>
      <c r="H39" s="62"/>
      <c r="I39" s="62"/>
      <c r="J39" s="62"/>
      <c r="K39" s="62"/>
      <c r="L39" s="81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</row>
    <row r="40" spans="5:27">
      <c r="F40" s="62"/>
      <c r="G40" s="62"/>
      <c r="H40" s="62"/>
      <c r="I40" s="62"/>
      <c r="J40" s="62"/>
      <c r="K40" s="62"/>
      <c r="L40" s="81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</row>
    <row r="41" spans="5:27">
      <c r="E41" s="62"/>
      <c r="F41" s="62"/>
      <c r="G41" s="62"/>
      <c r="H41" s="62"/>
      <c r="I41" s="62"/>
      <c r="J41" s="62"/>
      <c r="K41" s="62"/>
      <c r="L41" s="81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</row>
    <row r="42" spans="5:27">
      <c r="E42" s="62"/>
      <c r="F42" s="62"/>
      <c r="G42" s="62"/>
      <c r="H42" s="62"/>
      <c r="I42" s="62"/>
      <c r="J42" s="62"/>
      <c r="K42" s="62"/>
      <c r="L42" s="81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</row>
    <row r="43" spans="5:27">
      <c r="E43" s="62"/>
      <c r="F43" s="62"/>
      <c r="G43" s="62"/>
      <c r="H43" s="62"/>
      <c r="I43" s="62"/>
      <c r="J43" s="62"/>
      <c r="K43" s="62"/>
      <c r="L43" s="81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</row>
    <row r="44" spans="5:27">
      <c r="E44" s="62"/>
      <c r="F44" s="62"/>
      <c r="G44" s="62"/>
      <c r="H44" s="62"/>
      <c r="I44" s="62"/>
      <c r="J44" s="62"/>
      <c r="K44" s="62"/>
      <c r="L44" s="81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5:27">
      <c r="E45" s="62"/>
      <c r="F45" s="62"/>
      <c r="G45" s="62"/>
      <c r="H45" s="62"/>
      <c r="I45" s="62"/>
      <c r="J45" s="62"/>
      <c r="K45" s="62"/>
      <c r="L45" s="81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</row>
    <row r="46" spans="5:27">
      <c r="E46" s="62"/>
      <c r="F46" s="62"/>
      <c r="G46" s="62"/>
      <c r="H46" s="62"/>
      <c r="I46" s="62"/>
      <c r="J46" s="62"/>
      <c r="K46" s="62"/>
      <c r="L46" s="81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</row>
    <row r="47" spans="5:27">
      <c r="E47" s="62"/>
      <c r="F47" s="62"/>
      <c r="G47" s="62"/>
      <c r="H47" s="62"/>
      <c r="I47" s="62"/>
      <c r="J47" s="62"/>
      <c r="K47" s="62"/>
      <c r="L47" s="81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</row>
    <row r="48" spans="5:27">
      <c r="E48" s="62"/>
      <c r="F48" s="62"/>
      <c r="G48" s="62"/>
      <c r="H48" s="62"/>
      <c r="I48" s="62"/>
      <c r="J48" s="62"/>
      <c r="K48" s="62"/>
      <c r="L48" s="81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</row>
    <row r="49" spans="12:12">
      <c r="L49" s="81"/>
    </row>
    <row r="50" spans="12:12">
      <c r="L50" s="81"/>
    </row>
    <row r="51" spans="12:12">
      <c r="L51" s="81"/>
    </row>
    <row r="52" spans="12:12">
      <c r="L52" s="81"/>
    </row>
    <row r="53" spans="12:12">
      <c r="L53" s="81"/>
    </row>
    <row r="54" spans="12:12">
      <c r="L54" s="81"/>
    </row>
    <row r="55" spans="12:12">
      <c r="L55" s="81"/>
    </row>
    <row r="56" spans="12:12">
      <c r="L56" s="81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Y33"/>
  <sheetViews>
    <sheetView showGridLines="0" zoomScale="145" zoomScaleNormal="145" workbookViewId="0"/>
  </sheetViews>
  <sheetFormatPr defaultColWidth="9.1796875" defaultRowHeight="16"/>
  <cols>
    <col min="1" max="1" width="6.7265625" style="4" customWidth="1"/>
    <col min="2" max="2" width="5.453125" style="4" customWidth="1"/>
    <col min="3" max="3" width="6.7265625" style="4" customWidth="1"/>
    <col min="4" max="4" width="2.1796875" style="4" customWidth="1"/>
    <col min="5" max="5" width="1.453125" style="4" customWidth="1"/>
    <col min="6" max="6" width="26.7265625" style="4" bestFit="1" customWidth="1"/>
    <col min="7" max="7" width="9.81640625" style="4" customWidth="1"/>
    <col min="8" max="8" width="8.54296875" style="4" customWidth="1"/>
    <col min="9" max="9" width="8.81640625" style="4" customWidth="1"/>
    <col min="10" max="12" width="8.26953125" style="4" customWidth="1"/>
    <col min="13" max="14" width="8.81640625" style="4" customWidth="1"/>
    <col min="15" max="15" width="8.26953125" style="4" customWidth="1"/>
    <col min="16" max="16" width="9" style="4" customWidth="1"/>
    <col min="17" max="17" width="8.453125" style="4" customWidth="1"/>
    <col min="18" max="18" width="8.26953125" style="63" customWidth="1"/>
    <col min="19" max="19" width="8.453125" style="4" bestFit="1" customWidth="1"/>
    <col min="20" max="20" width="8.453125" style="63" bestFit="1" customWidth="1"/>
    <col min="21" max="21" width="2" style="4" customWidth="1"/>
    <col min="22" max="22" width="11.26953125" style="4" customWidth="1"/>
    <col min="23" max="23" width="17.81640625" style="4" bestFit="1" customWidth="1"/>
    <col min="24" max="24" width="9" style="4" bestFit="1" customWidth="1"/>
    <col min="25" max="16384" width="9.1796875" style="4"/>
  </cols>
  <sheetData>
    <row r="4" spans="6:25">
      <c r="X4" s="47"/>
    </row>
    <row r="8" spans="6:25" s="8" customFormat="1" ht="29">
      <c r="F8" s="59" t="s">
        <v>31</v>
      </c>
      <c r="G8" s="96">
        <v>45292</v>
      </c>
      <c r="H8" s="97">
        <f t="shared" ref="H8:T8" si="0">EDATE(G8,1)</f>
        <v>45323</v>
      </c>
      <c r="I8" s="97">
        <f t="shared" si="0"/>
        <v>45352</v>
      </c>
      <c r="J8" s="97">
        <f t="shared" si="0"/>
        <v>45383</v>
      </c>
      <c r="K8" s="97">
        <f t="shared" si="0"/>
        <v>45413</v>
      </c>
      <c r="L8" s="97">
        <f t="shared" si="0"/>
        <v>45444</v>
      </c>
      <c r="M8" s="97">
        <f t="shared" si="0"/>
        <v>45474</v>
      </c>
      <c r="N8" s="97">
        <f t="shared" si="0"/>
        <v>45505</v>
      </c>
      <c r="O8" s="97">
        <f t="shared" si="0"/>
        <v>45536</v>
      </c>
      <c r="P8" s="97">
        <f t="shared" si="0"/>
        <v>45566</v>
      </c>
      <c r="Q8" s="97">
        <f t="shared" si="0"/>
        <v>45597</v>
      </c>
      <c r="R8" s="97">
        <f t="shared" si="0"/>
        <v>45627</v>
      </c>
      <c r="S8" s="97">
        <f t="shared" si="0"/>
        <v>45658</v>
      </c>
      <c r="T8" s="97">
        <f t="shared" si="0"/>
        <v>45689</v>
      </c>
      <c r="U8" s="61"/>
      <c r="V8" s="60" t="s">
        <v>43</v>
      </c>
      <c r="W8" s="60" t="s">
        <v>148</v>
      </c>
      <c r="X8" s="60" t="s">
        <v>32</v>
      </c>
    </row>
    <row r="9" spans="6:25">
      <c r="F9" s="26" t="s">
        <v>33</v>
      </c>
      <c r="G9" s="27">
        <v>971379</v>
      </c>
      <c r="H9" s="27">
        <v>570572</v>
      </c>
      <c r="I9" s="27">
        <v>606286</v>
      </c>
      <c r="J9" s="27">
        <v>512118</v>
      </c>
      <c r="K9" s="27">
        <v>249266.91000000399</v>
      </c>
      <c r="L9" s="27">
        <v>153014</v>
      </c>
      <c r="M9" s="27">
        <v>158748</v>
      </c>
      <c r="N9" s="27">
        <v>136575</v>
      </c>
      <c r="O9" s="27">
        <v>93817</v>
      </c>
      <c r="P9" s="27">
        <v>89711</v>
      </c>
      <c r="Q9" s="27">
        <v>103113</v>
      </c>
      <c r="R9" s="27">
        <v>161478.909999998</v>
      </c>
      <c r="S9" s="27">
        <v>226619</v>
      </c>
      <c r="T9" s="27">
        <v>285253</v>
      </c>
      <c r="V9" s="27">
        <f>SUM(G9:T9)</f>
        <v>4317950.8200000022</v>
      </c>
      <c r="W9" s="27">
        <f>SUM(H9:T9)</f>
        <v>3346571.8200000017</v>
      </c>
      <c r="X9" s="27">
        <f>SUM(O9:T9)</f>
        <v>959991.90999999805</v>
      </c>
      <c r="Y9" s="43"/>
    </row>
    <row r="10" spans="6:25">
      <c r="F10" s="26" t="s">
        <v>34</v>
      </c>
      <c r="G10" s="27">
        <v>40889</v>
      </c>
      <c r="H10" s="27">
        <v>1238092</v>
      </c>
      <c r="I10" s="27">
        <v>1468936</v>
      </c>
      <c r="J10" s="27">
        <v>1714469</v>
      </c>
      <c r="K10" s="27">
        <v>1484398.88551162</v>
      </c>
      <c r="L10" s="27">
        <v>2086707</v>
      </c>
      <c r="M10" s="27">
        <v>1995144</v>
      </c>
      <c r="N10" s="27">
        <v>1956615</v>
      </c>
      <c r="O10" s="27">
        <v>2207497</v>
      </c>
      <c r="P10" s="27">
        <v>1637337</v>
      </c>
      <c r="Q10" s="27">
        <v>2140037</v>
      </c>
      <c r="R10" s="27">
        <v>2223409.0213799402</v>
      </c>
      <c r="S10" s="27">
        <v>2108769</v>
      </c>
      <c r="T10" s="27">
        <v>2213819</v>
      </c>
      <c r="V10" s="27">
        <f>SUM(G10:T10)</f>
        <v>24516118.906891562</v>
      </c>
      <c r="W10" s="27">
        <f>SUM(H10:T10)</f>
        <v>24475229.906891562</v>
      </c>
      <c r="X10" s="27">
        <f>SUM(O10:T10)</f>
        <v>12530868.02137994</v>
      </c>
      <c r="Y10" s="43"/>
    </row>
    <row r="11" spans="6:25">
      <c r="F11" s="26" t="s">
        <v>35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125000</v>
      </c>
      <c r="M11" s="28">
        <v>0</v>
      </c>
      <c r="N11" s="28">
        <v>125032</v>
      </c>
      <c r="O11" s="28">
        <v>41483</v>
      </c>
      <c r="P11" s="28">
        <v>103670</v>
      </c>
      <c r="Q11" s="28">
        <v>23568</v>
      </c>
      <c r="R11" s="75">
        <v>0</v>
      </c>
      <c r="S11" s="28">
        <v>0</v>
      </c>
      <c r="T11" s="75">
        <v>0</v>
      </c>
      <c r="V11" s="27">
        <f>SUM(G11:T11)</f>
        <v>418753</v>
      </c>
      <c r="W11" s="27">
        <f>SUM(H11:T11)</f>
        <v>418753</v>
      </c>
      <c r="X11" s="27">
        <f>SUM(O11:T11)</f>
        <v>168721</v>
      </c>
      <c r="Y11" s="43"/>
    </row>
    <row r="12" spans="6:25">
      <c r="F12" s="26" t="s">
        <v>36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3031</v>
      </c>
      <c r="R12" s="75">
        <v>50815</v>
      </c>
      <c r="S12" s="28">
        <v>50815</v>
      </c>
      <c r="T12" s="75">
        <v>63503</v>
      </c>
      <c r="V12" s="27">
        <f>SUM(G12:T12)</f>
        <v>168164</v>
      </c>
      <c r="W12" s="27">
        <f>SUM(H12:T12)</f>
        <v>168164</v>
      </c>
      <c r="X12" s="27">
        <f>SUM(O12:T12)</f>
        <v>168164</v>
      </c>
      <c r="Y12" s="43"/>
    </row>
    <row r="13" spans="6:25">
      <c r="F13" s="32" t="s">
        <v>37</v>
      </c>
      <c r="G13" s="33">
        <f t="shared" ref="G13:T13" si="1">SUM(G9:G12)</f>
        <v>1012268</v>
      </c>
      <c r="H13" s="33">
        <f t="shared" si="1"/>
        <v>1808664</v>
      </c>
      <c r="I13" s="33">
        <f t="shared" si="1"/>
        <v>2075222</v>
      </c>
      <c r="J13" s="33">
        <f t="shared" si="1"/>
        <v>2226587</v>
      </c>
      <c r="K13" s="33">
        <f t="shared" si="1"/>
        <v>1733665.7955116238</v>
      </c>
      <c r="L13" s="33">
        <f t="shared" si="1"/>
        <v>2364721</v>
      </c>
      <c r="M13" s="33">
        <f t="shared" si="1"/>
        <v>2153892</v>
      </c>
      <c r="N13" s="33">
        <f t="shared" si="1"/>
        <v>2218222</v>
      </c>
      <c r="O13" s="33">
        <f t="shared" si="1"/>
        <v>2342797</v>
      </c>
      <c r="P13" s="33">
        <f t="shared" si="1"/>
        <v>1830718</v>
      </c>
      <c r="Q13" s="33">
        <f t="shared" si="1"/>
        <v>2269749</v>
      </c>
      <c r="R13" s="33">
        <f t="shared" si="1"/>
        <v>2435702.931379938</v>
      </c>
      <c r="S13" s="33">
        <f t="shared" si="1"/>
        <v>2386203</v>
      </c>
      <c r="T13" s="33">
        <f t="shared" si="1"/>
        <v>2562575</v>
      </c>
      <c r="V13" s="54">
        <f>SUM(G13:T13)</f>
        <v>29420986.726891562</v>
      </c>
      <c r="W13" s="54">
        <f>SUM(H13:T13)</f>
        <v>28408718.726891562</v>
      </c>
      <c r="X13" s="54">
        <f>SUM(O13:T13)</f>
        <v>13827744.931379938</v>
      </c>
      <c r="Y13" s="43"/>
    </row>
    <row r="14" spans="6:25" ht="9.75" customHeight="1">
      <c r="V14" s="27"/>
      <c r="W14" s="27"/>
      <c r="X14" s="27"/>
    </row>
    <row r="15" spans="6:25">
      <c r="F15" s="26" t="s">
        <v>38</v>
      </c>
      <c r="G15" s="29">
        <v>-9889</v>
      </c>
      <c r="H15" s="29">
        <v>-231984</v>
      </c>
      <c r="I15" s="29">
        <v>-207282</v>
      </c>
      <c r="J15" s="29">
        <v>-217173</v>
      </c>
      <c r="K15" s="29">
        <v>-271817.36</v>
      </c>
      <c r="L15" s="29">
        <v>-220602</v>
      </c>
      <c r="M15" s="29">
        <v>-215132</v>
      </c>
      <c r="N15" s="29">
        <v>-268700</v>
      </c>
      <c r="O15" s="29">
        <v>-240360</v>
      </c>
      <c r="P15" s="29">
        <v>-229945</v>
      </c>
      <c r="Q15" s="29">
        <v>-245833</v>
      </c>
      <c r="R15" s="76">
        <v>-204210.42</v>
      </c>
      <c r="S15" s="29">
        <v>-229142</v>
      </c>
      <c r="T15" s="76">
        <v>-233064</v>
      </c>
      <c r="V15" s="27">
        <f>SUM(G15:T15)</f>
        <v>-3025133.78</v>
      </c>
      <c r="W15" s="27">
        <f>SUM(H15:T15)</f>
        <v>-3015244.78</v>
      </c>
      <c r="X15" s="27">
        <f>SUM(O15:T15)</f>
        <v>-1382554.42</v>
      </c>
      <c r="Y15" s="43"/>
    </row>
    <row r="16" spans="6:25">
      <c r="F16" s="34" t="s">
        <v>39</v>
      </c>
      <c r="G16" s="35">
        <f t="shared" ref="G16:T16" si="2">G15</f>
        <v>-9889</v>
      </c>
      <c r="H16" s="35">
        <f t="shared" si="2"/>
        <v>-231984</v>
      </c>
      <c r="I16" s="35">
        <f t="shared" si="2"/>
        <v>-207282</v>
      </c>
      <c r="J16" s="35">
        <f t="shared" si="2"/>
        <v>-217173</v>
      </c>
      <c r="K16" s="35">
        <f t="shared" si="2"/>
        <v>-271817.36</v>
      </c>
      <c r="L16" s="35">
        <f t="shared" si="2"/>
        <v>-220602</v>
      </c>
      <c r="M16" s="35">
        <f t="shared" si="2"/>
        <v>-215132</v>
      </c>
      <c r="N16" s="35">
        <f t="shared" si="2"/>
        <v>-268700</v>
      </c>
      <c r="O16" s="35">
        <f t="shared" si="2"/>
        <v>-240360</v>
      </c>
      <c r="P16" s="35">
        <f t="shared" si="2"/>
        <v>-229945</v>
      </c>
      <c r="Q16" s="35">
        <f t="shared" si="2"/>
        <v>-245833</v>
      </c>
      <c r="R16" s="35">
        <f t="shared" si="2"/>
        <v>-204210.42</v>
      </c>
      <c r="S16" s="35">
        <f t="shared" si="2"/>
        <v>-229142</v>
      </c>
      <c r="T16" s="35">
        <f t="shared" si="2"/>
        <v>-233064</v>
      </c>
      <c r="V16" s="54">
        <f>SUM(G16:T16)</f>
        <v>-3025133.78</v>
      </c>
      <c r="W16" s="54">
        <f>SUM(H16:T16)</f>
        <v>-3015244.78</v>
      </c>
      <c r="X16" s="54">
        <f>SUM(O16:T16)</f>
        <v>-1382554.42</v>
      </c>
      <c r="Y16" s="43"/>
    </row>
    <row r="17" spans="6:25">
      <c r="F17" s="34" t="s">
        <v>40</v>
      </c>
      <c r="G17" s="35">
        <f t="shared" ref="G17:M17" si="3">SUM(G16,G13)</f>
        <v>1002379</v>
      </c>
      <c r="H17" s="35">
        <f t="shared" si="3"/>
        <v>1576680</v>
      </c>
      <c r="I17" s="35">
        <f t="shared" si="3"/>
        <v>1867940</v>
      </c>
      <c r="J17" s="35">
        <f t="shared" si="3"/>
        <v>2009414</v>
      </c>
      <c r="K17" s="35">
        <f t="shared" si="3"/>
        <v>1461848.435511624</v>
      </c>
      <c r="L17" s="35">
        <f t="shared" si="3"/>
        <v>2144119</v>
      </c>
      <c r="M17" s="35">
        <f t="shared" si="3"/>
        <v>1938760</v>
      </c>
      <c r="N17" s="35">
        <f t="shared" ref="N17:T17" si="4">SUM(N13,N16)</f>
        <v>1949522</v>
      </c>
      <c r="O17" s="35">
        <f t="shared" si="4"/>
        <v>2102437</v>
      </c>
      <c r="P17" s="35">
        <f t="shared" si="4"/>
        <v>1600773</v>
      </c>
      <c r="Q17" s="35">
        <f t="shared" si="4"/>
        <v>2023916</v>
      </c>
      <c r="R17" s="35">
        <f t="shared" si="4"/>
        <v>2231492.5113799381</v>
      </c>
      <c r="S17" s="35">
        <f t="shared" si="4"/>
        <v>2157061</v>
      </c>
      <c r="T17" s="35">
        <f t="shared" si="4"/>
        <v>2329511</v>
      </c>
      <c r="V17" s="54">
        <f>SUM(G17:T17)</f>
        <v>26395852.946891565</v>
      </c>
      <c r="W17" s="54">
        <f>SUM(H17:T17)</f>
        <v>25393473.946891565</v>
      </c>
      <c r="X17" s="54">
        <f>SUM(O17:T17)</f>
        <v>12445190.511379939</v>
      </c>
      <c r="Y17" s="43"/>
    </row>
    <row r="18" spans="6:25" ht="9.75" customHeight="1">
      <c r="V18" s="27"/>
      <c r="W18" s="27"/>
      <c r="X18" s="27"/>
    </row>
    <row r="19" spans="6:25">
      <c r="F19" s="34" t="s">
        <v>41</v>
      </c>
      <c r="G19" s="33">
        <v>966130</v>
      </c>
      <c r="H19" s="33">
        <v>1576591</v>
      </c>
      <c r="I19" s="33">
        <v>1807823</v>
      </c>
      <c r="J19" s="33">
        <v>1807823</v>
      </c>
      <c r="K19" s="33">
        <v>1807823</v>
      </c>
      <c r="L19" s="33">
        <v>1807823</v>
      </c>
      <c r="M19" s="33">
        <v>1807823</v>
      </c>
      <c r="N19" s="33">
        <v>1807824</v>
      </c>
      <c r="O19" s="33">
        <v>1807824</v>
      </c>
      <c r="P19" s="33">
        <v>1807824</v>
      </c>
      <c r="Q19" s="33">
        <v>1997015</v>
      </c>
      <c r="R19" s="33">
        <v>1997015</v>
      </c>
      <c r="S19" s="33">
        <v>1997015</v>
      </c>
      <c r="T19" s="33">
        <v>2102121</v>
      </c>
      <c r="V19" s="54">
        <f>SUM(G19:T19)</f>
        <v>25098474</v>
      </c>
      <c r="W19" s="54">
        <f>SUM(H19:T19)</f>
        <v>24132344</v>
      </c>
      <c r="X19" s="54">
        <f>SUM(O19:T19)</f>
        <v>11708814</v>
      </c>
      <c r="Y19" s="43"/>
    </row>
    <row r="20" spans="6:25">
      <c r="F20" s="36" t="s">
        <v>42</v>
      </c>
      <c r="G20" s="37">
        <v>21021208</v>
      </c>
      <c r="H20" s="37">
        <v>21021208</v>
      </c>
      <c r="I20" s="37">
        <v>21021208</v>
      </c>
      <c r="J20" s="37">
        <v>21021208</v>
      </c>
      <c r="K20" s="37">
        <v>21021208</v>
      </c>
      <c r="L20" s="37">
        <v>21021208</v>
      </c>
      <c r="M20" s="37">
        <v>21021208</v>
      </c>
      <c r="N20" s="37">
        <v>21021208</v>
      </c>
      <c r="O20" s="37">
        <v>21021208</v>
      </c>
      <c r="P20" s="37">
        <v>21021208</v>
      </c>
      <c r="Q20" s="37">
        <v>21021208</v>
      </c>
      <c r="R20" s="37">
        <v>21021208</v>
      </c>
      <c r="S20" s="37">
        <v>21021208</v>
      </c>
      <c r="T20" s="37">
        <v>21021208</v>
      </c>
      <c r="V20" s="37">
        <v>21021208</v>
      </c>
      <c r="W20" s="37">
        <f>V20</f>
        <v>21021208</v>
      </c>
      <c r="X20" s="37">
        <v>21021208</v>
      </c>
    </row>
    <row r="21" spans="6:25">
      <c r="F21" s="30" t="s">
        <v>138</v>
      </c>
      <c r="G21" s="51">
        <f t="shared" ref="G21:T21" si="5">G19/G20</f>
        <v>4.595977548007707E-2</v>
      </c>
      <c r="H21" s="51">
        <f t="shared" si="5"/>
        <v>7.5000019028402171E-2</v>
      </c>
      <c r="I21" s="51">
        <f t="shared" si="5"/>
        <v>8.5999957756947173E-2</v>
      </c>
      <c r="J21" s="51">
        <f t="shared" si="5"/>
        <v>8.5999957756947173E-2</v>
      </c>
      <c r="K21" s="51">
        <f t="shared" si="5"/>
        <v>8.5999957756947173E-2</v>
      </c>
      <c r="L21" s="51">
        <f t="shared" si="5"/>
        <v>8.5999957756947173E-2</v>
      </c>
      <c r="M21" s="51">
        <f t="shared" si="5"/>
        <v>8.5999957756947173E-2</v>
      </c>
      <c r="N21" s="51">
        <f t="shared" si="5"/>
        <v>8.6000005327952614E-2</v>
      </c>
      <c r="O21" s="51">
        <f t="shared" si="5"/>
        <v>8.6000005327952614E-2</v>
      </c>
      <c r="P21" s="51">
        <f t="shared" si="5"/>
        <v>8.6000005327952614E-2</v>
      </c>
      <c r="Q21" s="51">
        <f t="shared" si="5"/>
        <v>9.50000114170413E-2</v>
      </c>
      <c r="R21" s="51">
        <f t="shared" si="5"/>
        <v>9.50000114170413E-2</v>
      </c>
      <c r="S21" s="51">
        <f t="shared" si="5"/>
        <v>9.50000114170413E-2</v>
      </c>
      <c r="T21" s="51">
        <f t="shared" si="5"/>
        <v>0.10000000951420109</v>
      </c>
      <c r="V21" s="106">
        <f>AVERAGE($G$21:$T$21)</f>
        <v>8.5282831645885571E-2</v>
      </c>
      <c r="W21" s="106">
        <f>AVERAGE($H$21:$T$21)</f>
        <v>8.8307682120178532E-2</v>
      </c>
      <c r="X21" s="106">
        <f>AVERAGE($O$21:$T$21)</f>
        <v>9.2833342403538369E-2</v>
      </c>
    </row>
    <row r="23" spans="6:25" s="25" customFormat="1">
      <c r="F23" s="34" t="s">
        <v>44</v>
      </c>
      <c r="G23" s="38">
        <f>209449739.44/G20</f>
        <v>9.9637346930775816</v>
      </c>
      <c r="H23" s="38">
        <v>9.9109945579721206</v>
      </c>
      <c r="I23" s="38">
        <v>9.8356521233223138</v>
      </c>
      <c r="J23" s="38">
        <v>9.6880027908006046</v>
      </c>
      <c r="K23" s="38">
        <v>9.6441522176080454</v>
      </c>
      <c r="L23" s="38">
        <v>9.86</v>
      </c>
      <c r="M23" s="38">
        <v>9.9477290125286792</v>
      </c>
      <c r="N23" s="38">
        <v>9.9551319399999993</v>
      </c>
      <c r="O23" s="38">
        <v>9.9019579899999997</v>
      </c>
      <c r="P23" s="38">
        <v>9.8608864809291639</v>
      </c>
      <c r="Q23" s="38">
        <v>9.8054486835390247</v>
      </c>
      <c r="R23" s="38">
        <v>9.7100000000000009</v>
      </c>
      <c r="S23" s="38">
        <v>9.77</v>
      </c>
      <c r="T23" s="38">
        <v>9.73</v>
      </c>
      <c r="V23" s="53"/>
      <c r="W23" s="53"/>
      <c r="X23" s="4"/>
    </row>
    <row r="24" spans="6:25">
      <c r="V24" s="53"/>
      <c r="W24" s="53"/>
    </row>
    <row r="25" spans="6:25">
      <c r="G25" s="46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81"/>
      <c r="S25" s="58"/>
      <c r="T25" s="107"/>
      <c r="V25" s="31"/>
      <c r="W25" s="31"/>
    </row>
    <row r="26" spans="6:25"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81"/>
      <c r="S26" s="48"/>
      <c r="T26" s="81"/>
      <c r="V26" s="43"/>
      <c r="W26" s="43"/>
      <c r="X26" s="43"/>
    </row>
    <row r="27" spans="6:25">
      <c r="G27" s="47"/>
      <c r="H27" s="47"/>
      <c r="I27" s="47"/>
      <c r="J27" s="47"/>
      <c r="K27" s="46"/>
      <c r="L27" s="47"/>
      <c r="M27" s="47"/>
      <c r="N27" s="47"/>
      <c r="Q27" s="48"/>
      <c r="R27" s="81"/>
      <c r="S27" s="48"/>
      <c r="T27" s="81"/>
      <c r="V27" s="43"/>
      <c r="W27" s="43"/>
      <c r="X27" s="43"/>
    </row>
    <row r="28" spans="6:25"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</row>
    <row r="29" spans="6:25">
      <c r="G29" s="48"/>
      <c r="H29" s="48"/>
      <c r="I29" s="48"/>
      <c r="J29" s="48"/>
      <c r="K29" s="48"/>
      <c r="L29" s="48"/>
      <c r="M29" s="48"/>
      <c r="N29" s="48"/>
    </row>
    <row r="30" spans="6:25">
      <c r="G30" s="48"/>
      <c r="H30" s="48"/>
      <c r="I30" s="48"/>
      <c r="J30" s="48"/>
      <c r="K30" s="48"/>
      <c r="L30" s="48"/>
      <c r="M30" s="48"/>
      <c r="N30" s="48"/>
    </row>
    <row r="31" spans="6:25"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6:25">
      <c r="G32" s="43"/>
      <c r="H32" s="43"/>
      <c r="I32" s="43"/>
      <c r="J32" s="43"/>
      <c r="K32" s="43"/>
      <c r="L32" s="43"/>
      <c r="M32" s="43"/>
      <c r="N32" s="43"/>
    </row>
    <row r="33" spans="7:14">
      <c r="G33" s="43"/>
      <c r="H33" s="43"/>
      <c r="I33" s="43"/>
      <c r="J33" s="43"/>
      <c r="K33" s="43"/>
      <c r="L33" s="43"/>
      <c r="M33" s="43"/>
      <c r="N33" s="43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X20 G13 V14 V18 V20 W18 W14 W9:W13 W15:W17 W19 X14 X18 X9:X13 X19 X15:X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2024-06-14T17:26:38Z</cp:lastPrinted>
  <dcterms:created xsi:type="dcterms:W3CDTF">2023-10-11T17:28:22Z</dcterms:created>
  <dcterms:modified xsi:type="dcterms:W3CDTF">2025-03-18T21:35:46Z</dcterms:modified>
</cp:coreProperties>
</file>