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1570" windowHeight="10155" activeTab="1"/>
  </bookViews>
  <sheets>
    <sheet name="Resumo" sheetId="2" r:id="rId1"/>
    <sheet name="Detalhamento de operações" sheetId="3" r:id="rId2"/>
    <sheet name="DRE" sheetId="4" r:id="rId3"/>
  </sheets>
  <definedNames>
    <definedName name="_xlnm._FilterDatabase" localSheetId="1" hidden="1">'Detalhamento de operações'!$E$7:$AA$23</definedName>
  </definedNames>
  <calcPr calcId="162913"/>
</workbook>
</file>

<file path=xl/calcChain.xml><?xml version="1.0" encoding="utf-8"?>
<calcChain xmlns="http://schemas.openxmlformats.org/spreadsheetml/2006/main">
  <c r="N9" i="2" l="1"/>
  <c r="C12" i="2"/>
  <c r="C18" i="2"/>
  <c r="L26" i="3"/>
  <c r="M26" i="3" s="1"/>
  <c r="N26" i="3" s="1"/>
  <c r="H8" i="4"/>
  <c r="I8" i="4" s="1"/>
  <c r="J8" i="4" s="1"/>
  <c r="K8" i="4" s="1"/>
  <c r="L8" i="4" s="1"/>
  <c r="M8" i="4" s="1"/>
  <c r="N8" i="4" s="1"/>
  <c r="P9" i="4"/>
  <c r="Q9" i="4"/>
  <c r="P10" i="4"/>
  <c r="Q10" i="4"/>
  <c r="P11" i="4"/>
  <c r="Q11" i="4"/>
  <c r="P12" i="4"/>
  <c r="Q12" i="4"/>
  <c r="G13" i="4"/>
  <c r="H13" i="4"/>
  <c r="P13" i="4" s="1"/>
  <c r="I13" i="4"/>
  <c r="J13" i="4"/>
  <c r="Q13" i="4" s="1"/>
  <c r="K13" i="4"/>
  <c r="K17" i="4" s="1"/>
  <c r="L13" i="4"/>
  <c r="M13" i="4"/>
  <c r="N13" i="4"/>
  <c r="N17" i="4" s="1"/>
  <c r="P15" i="4"/>
  <c r="Q15" i="4"/>
  <c r="G16" i="4"/>
  <c r="G17" i="4" s="1"/>
  <c r="P17" i="4" s="1"/>
  <c r="H16" i="4"/>
  <c r="I16" i="4"/>
  <c r="J16" i="4"/>
  <c r="J17" i="4" s="1"/>
  <c r="K16" i="4"/>
  <c r="L16" i="4"/>
  <c r="M16" i="4"/>
  <c r="N16" i="4"/>
  <c r="P16" i="4"/>
  <c r="H17" i="4"/>
  <c r="I17" i="4"/>
  <c r="L17" i="4"/>
  <c r="M17" i="4"/>
  <c r="P19" i="4"/>
  <c r="Q19" i="4"/>
  <c r="G21" i="4"/>
  <c r="L12" i="2" s="1"/>
  <c r="H21" i="4"/>
  <c r="L9" i="2" s="1"/>
  <c r="I21" i="4"/>
  <c r="Q21" i="4" s="1"/>
  <c r="J21" i="4"/>
  <c r="K21" i="4"/>
  <c r="L21" i="4"/>
  <c r="M21" i="4"/>
  <c r="N21" i="4"/>
  <c r="J9" i="2" s="1"/>
  <c r="G23" i="4"/>
  <c r="O10" i="3" l="1"/>
  <c r="O18" i="3"/>
  <c r="O8" i="3"/>
  <c r="O12" i="3"/>
  <c r="O20" i="3"/>
  <c r="O26" i="3"/>
  <c r="O23" i="3"/>
  <c r="O13" i="3"/>
  <c r="O21" i="3"/>
  <c r="O14" i="3"/>
  <c r="O22" i="3"/>
  <c r="O15" i="3"/>
  <c r="O9" i="3"/>
  <c r="O17" i="3"/>
  <c r="O11" i="3"/>
  <c r="O19" i="3"/>
  <c r="O16" i="3"/>
  <c r="O25" i="3"/>
  <c r="Q17" i="4"/>
  <c r="Q16" i="4"/>
  <c r="P21" i="4"/>
</calcChain>
</file>

<file path=xl/sharedStrings.xml><?xml version="1.0" encoding="utf-8"?>
<sst xmlns="http://schemas.openxmlformats.org/spreadsheetml/2006/main" count="306" uniqueCount="142">
  <si>
    <t>Segmento</t>
  </si>
  <si>
    <t>Tipo</t>
  </si>
  <si>
    <t>Residencial</t>
  </si>
  <si>
    <t>IPCA+</t>
  </si>
  <si>
    <t>Sudeste</t>
  </si>
  <si>
    <t>Pulverizado</t>
  </si>
  <si>
    <t>Comercial</t>
  </si>
  <si>
    <t>INCC+</t>
  </si>
  <si>
    <t>Equity</t>
  </si>
  <si>
    <t>Epiroc</t>
  </si>
  <si>
    <t>Bioma</t>
  </si>
  <si>
    <t>Caixa</t>
  </si>
  <si>
    <t>22J1370286</t>
  </si>
  <si>
    <t>23F2910406</t>
  </si>
  <si>
    <t>23H2512601</t>
  </si>
  <si>
    <t>n.a</t>
  </si>
  <si>
    <t>Objetivo do Fundo</t>
  </si>
  <si>
    <t>Patrimônio Líquido</t>
  </si>
  <si>
    <t>Número de Cotistas</t>
  </si>
  <si>
    <t>Início do Fundo</t>
  </si>
  <si>
    <t>LTV</t>
  </si>
  <si>
    <t xml:space="preserve">Auferir ganhos pela aplicação de seus recursos em ativos financeiros com lastro imobiliário, tais como CRI, Debênture, LCI, LH e cotas de FIIs e ativos imobiliários, como imóveis comerciais e projetos imobiliários residenciais.
</t>
  </si>
  <si>
    <t>Valor de mercado</t>
  </si>
  <si>
    <t>Data base:</t>
  </si>
  <si>
    <t>Taxa de Administração e Gestão</t>
  </si>
  <si>
    <t>Taxa de performance</t>
  </si>
  <si>
    <t>20% do que exceder IPCA + IMA-B5 + 1.00% a.a.</t>
  </si>
  <si>
    <t>VENCIMENTO DO CRI</t>
  </si>
  <si>
    <t>REGIÃO</t>
  </si>
  <si>
    <t>DURATION (ANOS)</t>
  </si>
  <si>
    <t>Sênior</t>
  </si>
  <si>
    <t>Fluxo Financeiro</t>
  </si>
  <si>
    <t>Semestre</t>
  </si>
  <si>
    <t>Ganho de Capital RF</t>
  </si>
  <si>
    <t>Dividendos CRI (Juros e Correção)</t>
  </si>
  <si>
    <t>L/P com venda de ativos</t>
  </si>
  <si>
    <t>Divedendos FIIs</t>
  </si>
  <si>
    <t>Receitas</t>
  </si>
  <si>
    <t>Despesas Operacionais</t>
  </si>
  <si>
    <t>Despesas</t>
  </si>
  <si>
    <t>Resultado</t>
  </si>
  <si>
    <t>Distribuição</t>
  </si>
  <si>
    <t>Qtd. De Cotas</t>
  </si>
  <si>
    <t>Desde o início</t>
  </si>
  <si>
    <t>Valor da cota no fechamento</t>
  </si>
  <si>
    <t>Último yield anualizado</t>
  </si>
  <si>
    <t>Dividendos a pagar no mês (base 10)</t>
  </si>
  <si>
    <t>Indicadores financeiros</t>
  </si>
  <si>
    <t>Rentabilidade desce o início</t>
  </si>
  <si>
    <t>Cota patrimonial</t>
  </si>
  <si>
    <t>Cota a valor de mercado</t>
  </si>
  <si>
    <t>Rentabilidade em CDI bruto</t>
  </si>
  <si>
    <t>Rentabilidade em CDI liquído</t>
  </si>
  <si>
    <t>Rentabilidade futura para ativo CDI +</t>
  </si>
  <si>
    <t>Rentabilidade futura para ativo INCC +</t>
  </si>
  <si>
    <t>Rentabilidade futura para ativo IPCA +</t>
  </si>
  <si>
    <t>Cota</t>
  </si>
  <si>
    <t>Única</t>
  </si>
  <si>
    <t>% Colateral/Subordinação</t>
  </si>
  <si>
    <t>DI+</t>
  </si>
  <si>
    <t>True</t>
  </si>
  <si>
    <t>Provincia</t>
  </si>
  <si>
    <t>Opea</t>
  </si>
  <si>
    <t>Travessia</t>
  </si>
  <si>
    <t>Ativo</t>
  </si>
  <si>
    <t>Código do ativo</t>
  </si>
  <si>
    <t>Oliveira Trust</t>
  </si>
  <si>
    <t>Index</t>
  </si>
  <si>
    <t>Taxa aquisição</t>
  </si>
  <si>
    <t>Taxa MTM</t>
  </si>
  <si>
    <t>Investimento</t>
  </si>
  <si>
    <t>Saldo curva</t>
  </si>
  <si>
    <t>Saldo MTM</t>
  </si>
  <si>
    <t>% da carteira</t>
  </si>
  <si>
    <t>Agente Fiduciário</t>
  </si>
  <si>
    <t>Securitizadora</t>
  </si>
  <si>
    <t>23H0153033</t>
  </si>
  <si>
    <t>Technion</t>
  </si>
  <si>
    <t>CRI</t>
  </si>
  <si>
    <t>23L1605236</t>
  </si>
  <si>
    <t>1,25% a.a.</t>
  </si>
  <si>
    <t>Dividendos médio desde o início na CETIP</t>
  </si>
  <si>
    <t>Percentual alocado</t>
  </si>
  <si>
    <t>Rio_Bravo</t>
  </si>
  <si>
    <t>24A2020894</t>
  </si>
  <si>
    <t>24A1588305</t>
  </si>
  <si>
    <t>23L2833549</t>
  </si>
  <si>
    <t>IGPM+</t>
  </si>
  <si>
    <t>Planner</t>
  </si>
  <si>
    <t>EBM</t>
  </si>
  <si>
    <t>Harmonia</t>
  </si>
  <si>
    <t>MRV Flex</t>
  </si>
  <si>
    <t>Co-inc</t>
  </si>
  <si>
    <t>Centro-Oeste</t>
  </si>
  <si>
    <t>Sudeste e Centro Oeste</t>
  </si>
  <si>
    <t>Sudeste, Nordeste e Centro Oeste</t>
  </si>
  <si>
    <t>Todo Brasil</t>
  </si>
  <si>
    <t>Obra</t>
  </si>
  <si>
    <t>Aquisição</t>
  </si>
  <si>
    <t>Pulverizado 1</t>
  </si>
  <si>
    <t>Quantidade</t>
  </si>
  <si>
    <t>Yield médio anualizado desde o início</t>
  </si>
  <si>
    <t>Rentabilidade futura para ativo IGPM +</t>
  </si>
  <si>
    <t>Shopping Itaquera</t>
  </si>
  <si>
    <t>24C1526928</t>
  </si>
  <si>
    <t>Vortx</t>
  </si>
  <si>
    <t>PHV</t>
  </si>
  <si>
    <t>EBM - Série 1</t>
  </si>
  <si>
    <t>22H2625201</t>
  </si>
  <si>
    <t>24D3468496</t>
  </si>
  <si>
    <t>24D3470114</t>
  </si>
  <si>
    <t>24D3470625</t>
  </si>
  <si>
    <t>EBM - Série 2</t>
  </si>
  <si>
    <t>EBM - Série 3</t>
  </si>
  <si>
    <t>Giro de Estoque</t>
  </si>
  <si>
    <t>Permuta financeira</t>
  </si>
  <si>
    <t>Habitasec</t>
  </si>
  <si>
    <t>Somos - Level Home Resort</t>
  </si>
  <si>
    <t>Daxo</t>
  </si>
  <si>
    <t>24E2191109</t>
  </si>
  <si>
    <t>Acompanhamento</t>
  </si>
  <si>
    <t>Klabin</t>
  </si>
  <si>
    <t>24F2263347</t>
  </si>
  <si>
    <t>LFT¹</t>
  </si>
  <si>
    <t>Neo - Financeiro</t>
  </si>
  <si>
    <t>Planeta - Financeiro</t>
  </si>
  <si>
    <t>CTE - Obra / Monitori - Financeiro</t>
  </si>
  <si>
    <t>CCC - Obra / CCC - Financeiro</t>
  </si>
  <si>
    <t>PGB - Obra</t>
  </si>
  <si>
    <t>CCC - Obra / OPEA - Financeiro</t>
  </si>
  <si>
    <t>CCC - Obra / Monitori - Financeiro</t>
  </si>
  <si>
    <t>¹ Valor líquido de dividendos pago no montante de R$ 1.807.823,13.</t>
  </si>
  <si>
    <t>Compass - Obra</t>
  </si>
  <si>
    <t>SWA - Patriarca</t>
  </si>
  <si>
    <t>24G1627395</t>
  </si>
  <si>
    <t>Playbanco</t>
  </si>
  <si>
    <t>Trustee DTVM</t>
  </si>
  <si>
    <t>Binswanger - Obra /  Neo - Financeiro</t>
  </si>
  <si>
    <t>Tipo de pulverizado</t>
  </si>
  <si>
    <t>100% residencial</t>
  </si>
  <si>
    <t>33% comercial / 67% residencial</t>
  </si>
  <si>
    <t>Distribuição média por cota (base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</si>
</sst>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R$&quot;\ #,##0.00;[Red]\-&quot;R$&quot;\ #,##0.00"/>
    <numFmt numFmtId="43" formatCode="_-* #,##0.00_-;\-* #,##0.00_-;_-* &quot;-&quot;??_-;_-@_-"/>
    <numFmt numFmtId="168" formatCode="&quot;R$&quot;\ #,##0.00"/>
    <numFmt numFmtId="170" formatCode="#,##0.000"/>
    <numFmt numFmtId="172" formatCode="#,##0.0"/>
    <numFmt numFmtId="180" formatCode="&quot;R$&quot;\ #,##0.000;[Red]\-&quot;R$&quot;\ #,##0.000"/>
    <numFmt numFmtId="182" formatCode="0.000"/>
  </numFmts>
  <fonts count="17" x14ac:knownFonts="1">
    <font>
      <sz val="11"/>
      <color theme="1"/>
      <name val="Calibri"/>
      <family val="2"/>
      <scheme val="minor"/>
    </font>
    <font>
      <sz val="9"/>
      <name val="Darker Grotesque"/>
    </font>
    <font>
      <b/>
      <sz val="9"/>
      <name val="Darker Grotesque"/>
    </font>
    <font>
      <sz val="11"/>
      <color theme="1"/>
      <name val="Calibri"/>
      <family val="2"/>
      <scheme val="minor"/>
    </font>
    <font>
      <sz val="11"/>
      <color theme="1"/>
      <name val="Darker Grotesque"/>
    </font>
    <font>
      <b/>
      <sz val="16"/>
      <color theme="1"/>
      <name val="Darker Grotesque"/>
    </font>
    <font>
      <sz val="10"/>
      <color theme="1"/>
      <name val="Darker Grotesque"/>
    </font>
    <font>
      <b/>
      <sz val="12"/>
      <color theme="1"/>
      <name val="Darker Grotesque"/>
    </font>
    <font>
      <sz val="14"/>
      <color theme="1"/>
      <name val="Darker Grotesque"/>
    </font>
    <font>
      <sz val="9"/>
      <color theme="1"/>
      <name val="Darker Grotesque"/>
    </font>
    <font>
      <sz val="9"/>
      <color rgb="FF000000"/>
      <name val="Darker Grotesque"/>
    </font>
    <font>
      <b/>
      <sz val="10"/>
      <color rgb="FFFFFFFF"/>
      <name val="Darker Grotesque"/>
    </font>
    <font>
      <b/>
      <sz val="10"/>
      <color theme="0"/>
      <name val="Darker Grotesque"/>
    </font>
    <font>
      <b/>
      <sz val="9"/>
      <color theme="1"/>
      <name val="Darker Grotesque"/>
    </font>
    <font>
      <sz val="16"/>
      <color theme="1"/>
      <name val="Darker Grotesque"/>
    </font>
    <font>
      <sz val="7"/>
      <color theme="1"/>
      <name val="Darker Grotesque"/>
    </font>
    <font>
      <sz val="10.5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D15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FCF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6795556505021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2">
    <xf numFmtId="0" fontId="0" fillId="0" borderId="0" xfId="0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168" fontId="5" fillId="0" borderId="0" xfId="2" applyNumberFormat="1" applyFont="1" applyAlignment="1">
      <alignment horizontal="left" vertical="center"/>
    </xf>
    <xf numFmtId="8" fontId="5" fillId="0" borderId="0" xfId="0" applyNumberFormat="1" applyFont="1" applyAlignment="1">
      <alignment horizontal="left" vertical="center"/>
    </xf>
    <xf numFmtId="3" fontId="5" fillId="0" borderId="10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4" fontId="5" fillId="0" borderId="10" xfId="0" applyNumberFormat="1" applyFont="1" applyBorder="1" applyAlignment="1">
      <alignment horizontal="left" vertical="center" wrapText="1"/>
    </xf>
    <xf numFmtId="8" fontId="7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/>
    </xf>
    <xf numFmtId="0" fontId="9" fillId="0" borderId="0" xfId="0" applyFont="1" applyFill="1" applyBorder="1" applyAlignment="1">
      <alignment horizontal="center" vertical="center" readingOrder="1"/>
    </xf>
    <xf numFmtId="10" fontId="9" fillId="0" borderId="0" xfId="0" applyNumberFormat="1" applyFont="1" applyFill="1" applyBorder="1" applyAlignment="1">
      <alignment horizontal="center" vertical="center" readingOrder="1"/>
    </xf>
    <xf numFmtId="3" fontId="9" fillId="0" borderId="0" xfId="0" applyNumberFormat="1" applyFont="1" applyFill="1" applyBorder="1" applyAlignment="1">
      <alignment horizontal="center" vertical="center" readingOrder="1"/>
    </xf>
    <xf numFmtId="10" fontId="9" fillId="0" borderId="0" xfId="1" applyNumberFormat="1" applyFont="1" applyFill="1" applyBorder="1" applyAlignment="1">
      <alignment horizontal="center" vertical="center" readingOrder="1"/>
    </xf>
    <xf numFmtId="17" fontId="9" fillId="0" borderId="0" xfId="0" applyNumberFormat="1" applyFont="1" applyFill="1" applyBorder="1" applyAlignment="1">
      <alignment horizontal="center" vertical="center" readingOrder="1"/>
    </xf>
    <xf numFmtId="0" fontId="10" fillId="0" borderId="0" xfId="0" applyFont="1" applyFill="1" applyBorder="1" applyAlignment="1">
      <alignment horizontal="center" vertical="center" readingOrder="1"/>
    </xf>
    <xf numFmtId="10" fontId="10" fillId="0" borderId="0" xfId="0" applyNumberFormat="1" applyFont="1" applyFill="1" applyBorder="1" applyAlignment="1">
      <alignment horizontal="center" vertical="center" readingOrder="1"/>
    </xf>
    <xf numFmtId="3" fontId="10" fillId="0" borderId="0" xfId="0" applyNumberFormat="1" applyFont="1" applyFill="1" applyBorder="1" applyAlignment="1">
      <alignment horizontal="center" vertical="center" readingOrder="1"/>
    </xf>
    <xf numFmtId="17" fontId="10" fillId="0" borderId="0" xfId="0" applyNumberFormat="1" applyFont="1" applyFill="1" applyBorder="1" applyAlignment="1">
      <alignment horizontal="center" vertical="center" readingOrder="1"/>
    </xf>
    <xf numFmtId="10" fontId="10" fillId="0" borderId="0" xfId="1" applyNumberFormat="1" applyFont="1" applyFill="1" applyBorder="1" applyAlignment="1">
      <alignment horizontal="center" vertical="center" readingOrder="1"/>
    </xf>
    <xf numFmtId="3" fontId="1" fillId="0" borderId="0" xfId="0" applyNumberFormat="1" applyFont="1" applyFill="1" applyBorder="1" applyAlignment="1">
      <alignment horizontal="center" vertical="center" readingOrder="1"/>
    </xf>
    <xf numFmtId="0" fontId="11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readingOrder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Fill="1" applyAlignment="1">
      <alignment horizontal="center"/>
    </xf>
    <xf numFmtId="0" fontId="12" fillId="3" borderId="1" xfId="0" applyFont="1" applyFill="1" applyBorder="1" applyAlignment="1">
      <alignment vertical="center"/>
    </xf>
    <xf numFmtId="17" fontId="12" fillId="3" borderId="1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3" fontId="1" fillId="0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3" fontId="4" fillId="0" borderId="0" xfId="0" applyNumberFormat="1" applyFont="1"/>
    <xf numFmtId="3" fontId="13" fillId="5" borderId="0" xfId="0" applyNumberFormat="1" applyFont="1" applyFill="1" applyBorder="1" applyAlignment="1">
      <alignment horizontal="left" vertical="center"/>
    </xf>
    <xf numFmtId="3" fontId="13" fillId="5" borderId="0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vertical="center"/>
    </xf>
    <xf numFmtId="3" fontId="2" fillId="5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center" vertical="center"/>
    </xf>
    <xf numFmtId="4" fontId="13" fillId="5" borderId="0" xfId="0" applyNumberFormat="1" applyFont="1" applyFill="1" applyBorder="1" applyAlignment="1">
      <alignment horizontal="center" vertical="center"/>
    </xf>
    <xf numFmtId="10" fontId="5" fillId="0" borderId="0" xfId="2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10" fontId="5" fillId="0" borderId="10" xfId="0" applyNumberFormat="1" applyFont="1" applyBorder="1" applyAlignment="1">
      <alignment horizontal="left" vertical="center"/>
    </xf>
    <xf numFmtId="10" fontId="5" fillId="0" borderId="10" xfId="2" applyNumberFormat="1" applyFont="1" applyBorder="1" applyAlignment="1">
      <alignment horizontal="left" vertical="center"/>
    </xf>
    <xf numFmtId="172" fontId="9" fillId="0" borderId="0" xfId="0" applyNumberFormat="1" applyFont="1" applyFill="1" applyBorder="1" applyAlignment="1">
      <alignment horizontal="center" vertical="center" readingOrder="1"/>
    </xf>
    <xf numFmtId="172" fontId="10" fillId="0" borderId="0" xfId="0" applyNumberFormat="1" applyFont="1" applyFill="1" applyBorder="1" applyAlignment="1">
      <alignment horizontal="center" vertical="center" readingOrder="1"/>
    </xf>
    <xf numFmtId="172" fontId="9" fillId="0" borderId="0" xfId="0" applyNumberFormat="1" applyFont="1" applyFill="1" applyAlignment="1">
      <alignment horizontal="center"/>
    </xf>
    <xf numFmtId="4" fontId="4" fillId="0" borderId="0" xfId="0" applyNumberFormat="1" applyFont="1"/>
    <xf numFmtId="10" fontId="4" fillId="0" borderId="0" xfId="0" applyNumberFormat="1" applyFont="1"/>
    <xf numFmtId="168" fontId="5" fillId="0" borderId="0" xfId="2" applyNumberFormat="1" applyFont="1" applyAlignment="1">
      <alignment horizontal="left" vertical="center" wrapText="1"/>
    </xf>
    <xf numFmtId="10" fontId="9" fillId="0" borderId="0" xfId="0" applyNumberFormat="1" applyFont="1" applyAlignment="1">
      <alignment horizontal="center"/>
    </xf>
    <xf numFmtId="10" fontId="5" fillId="0" borderId="0" xfId="1" applyNumberFormat="1" applyFont="1" applyFill="1" applyAlignment="1">
      <alignment horizontal="left" vertic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4" fillId="0" borderId="0" xfId="0" applyFont="1" applyFill="1" applyAlignment="1">
      <alignment vertical="center"/>
    </xf>
    <xf numFmtId="10" fontId="5" fillId="0" borderId="0" xfId="2" applyNumberFormat="1" applyFont="1" applyFill="1" applyAlignment="1">
      <alignment horizontal="left" vertical="center"/>
    </xf>
    <xf numFmtId="10" fontId="11" fillId="2" borderId="11" xfId="0" applyNumberFormat="1" applyFont="1" applyFill="1" applyBorder="1" applyAlignment="1">
      <alignment horizontal="center" vertical="center" readingOrder="1"/>
    </xf>
    <xf numFmtId="17" fontId="12" fillId="3" borderId="0" xfId="0" applyNumberFormat="1" applyFont="1" applyFill="1" applyBorder="1" applyAlignment="1">
      <alignment horizontal="center"/>
    </xf>
    <xf numFmtId="170" fontId="13" fillId="4" borderId="0" xfId="0" applyNumberFormat="1" applyFont="1" applyFill="1" applyBorder="1" applyAlignment="1">
      <alignment horizontal="center" vertical="center"/>
    </xf>
    <xf numFmtId="180" fontId="5" fillId="0" borderId="0" xfId="0" applyNumberFormat="1" applyFont="1" applyAlignment="1">
      <alignment horizontal="left" vertical="center"/>
    </xf>
    <xf numFmtId="182" fontId="4" fillId="0" borderId="0" xfId="0" applyNumberFormat="1" applyFont="1"/>
    <xf numFmtId="182" fontId="9" fillId="0" borderId="0" xfId="0" applyNumberFormat="1" applyFont="1"/>
    <xf numFmtId="0" fontId="10" fillId="0" borderId="0" xfId="0" quotePrefix="1" applyFont="1" applyFill="1" applyBorder="1" applyAlignment="1">
      <alignment horizontal="center" vertical="center" readingOrder="1"/>
    </xf>
    <xf numFmtId="9" fontId="10" fillId="0" borderId="0" xfId="0" applyNumberFormat="1" applyFont="1" applyFill="1" applyBorder="1" applyAlignment="1">
      <alignment horizontal="center" vertical="center" readingOrder="1"/>
    </xf>
    <xf numFmtId="172" fontId="4" fillId="0" borderId="0" xfId="0" applyNumberFormat="1" applyFont="1" applyAlignment="1">
      <alignment horizontal="center"/>
    </xf>
    <xf numFmtId="0" fontId="15" fillId="0" borderId="0" xfId="0" applyFont="1" applyAlignment="1"/>
    <xf numFmtId="3" fontId="4" fillId="0" borderId="0" xfId="0" applyNumberFormat="1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10" fontId="5" fillId="0" borderId="0" xfId="2" applyNumberFormat="1" applyFont="1" applyBorder="1" applyAlignment="1">
      <alignment horizontal="left" vertical="center"/>
    </xf>
    <xf numFmtId="10" fontId="16" fillId="0" borderId="0" xfId="2" applyNumberFormat="1" applyFont="1" applyFill="1" applyBorder="1" applyAlignment="1">
      <alignment horizontal="center" vertical="center" readingOrder="1"/>
    </xf>
    <xf numFmtId="3" fontId="16" fillId="0" borderId="0" xfId="0" applyNumberFormat="1" applyFont="1" applyFill="1" applyBorder="1" applyAlignment="1">
      <alignment horizontal="center" vertical="center" readingOrder="1"/>
    </xf>
    <xf numFmtId="10" fontId="16" fillId="0" borderId="0" xfId="0" applyNumberFormat="1" applyFont="1" applyFill="1" applyBorder="1" applyAlignment="1">
      <alignment horizontal="center" vertical="center" readingOrder="1"/>
    </xf>
    <xf numFmtId="3" fontId="5" fillId="0" borderId="0" xfId="0" applyNumberFormat="1" applyFont="1" applyAlignment="1">
      <alignment horizontal="left" vertical="center"/>
    </xf>
    <xf numFmtId="4" fontId="6" fillId="0" borderId="0" xfId="0" applyNumberFormat="1" applyFont="1"/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</xdr:row>
      <xdr:rowOff>200025</xdr:rowOff>
    </xdr:from>
    <xdr:to>
      <xdr:col>2</xdr:col>
      <xdr:colOff>1476375</xdr:colOff>
      <xdr:row>3</xdr:row>
      <xdr:rowOff>171450</xdr:rowOff>
    </xdr:to>
    <xdr:pic>
      <xdr:nvPicPr>
        <xdr:cNvPr id="17463" name="Imagem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9575"/>
          <a:ext cx="14287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4</xdr:row>
      <xdr:rowOff>66675</xdr:rowOff>
    </xdr:from>
    <xdr:to>
      <xdr:col>2</xdr:col>
      <xdr:colOff>1352550</xdr:colOff>
      <xdr:row>7</xdr:row>
      <xdr:rowOff>38100</xdr:rowOff>
    </xdr:to>
    <xdr:grpSp>
      <xdr:nvGrpSpPr>
        <xdr:cNvPr id="17464" name="Agrupar 11"/>
        <xdr:cNvGrpSpPr>
          <a:grpSpLocks/>
        </xdr:cNvGrpSpPr>
      </xdr:nvGrpSpPr>
      <xdr:grpSpPr bwMode="auto">
        <a:xfrm>
          <a:off x="551392" y="983897"/>
          <a:ext cx="1171575" cy="579967"/>
          <a:chOff x="3335767" y="5244097"/>
          <a:chExt cx="1171532" cy="517530"/>
        </a:xfrm>
      </xdr:grpSpPr>
      <xdr:sp macro="" textlink="">
        <xdr:nvSpPr>
          <xdr:cNvPr id="13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21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17467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</xdr:colOff>
      <xdr:row>20</xdr:row>
      <xdr:rowOff>129598</xdr:rowOff>
    </xdr:from>
    <xdr:to>
      <xdr:col>14</xdr:col>
      <xdr:colOff>1</xdr:colOff>
      <xdr:row>20</xdr:row>
      <xdr:rowOff>129598</xdr:rowOff>
    </xdr:to>
    <xdr:cxnSp macro="">
      <xdr:nvCxnSpPr>
        <xdr:cNvPr id="19" name="Straight Connector 49">
          <a:extLst>
            <a:ext uri="{FF2B5EF4-FFF2-40B4-BE49-F238E27FC236}">
              <a16:creationId xmlns:a16="http://schemas.microsoft.com/office/drawing/2014/main" id="{170FFBE9-35FE-4B2A-A65F-47C4030C6313}"/>
            </a:ext>
          </a:extLst>
        </xdr:cNvPr>
        <xdr:cNvCxnSpPr>
          <a:cxnSpLocks/>
        </xdr:cNvCxnSpPr>
      </xdr:nvCxnSpPr>
      <xdr:spPr>
        <a:xfrm flipH="1">
          <a:off x="0" y="5166666"/>
          <a:ext cx="7388087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142875</xdr:rowOff>
    </xdr:to>
    <xdr:pic>
      <xdr:nvPicPr>
        <xdr:cNvPr id="18476" name="Imagem 15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38100</xdr:rowOff>
    </xdr:from>
    <xdr:to>
      <xdr:col>3</xdr:col>
      <xdr:colOff>19050</xdr:colOff>
      <xdr:row>5</xdr:row>
      <xdr:rowOff>209550</xdr:rowOff>
    </xdr:to>
    <xdr:grpSp>
      <xdr:nvGrpSpPr>
        <xdr:cNvPr id="18477" name="Agrupar 16"/>
        <xdr:cNvGrpSpPr>
          <a:grpSpLocks/>
        </xdr:cNvGrpSpPr>
      </xdr:nvGrpSpPr>
      <xdr:grpSpPr bwMode="auto">
        <a:xfrm>
          <a:off x="190500" y="670290"/>
          <a:ext cx="1168793" cy="592910"/>
          <a:chOff x="3335767" y="5244097"/>
          <a:chExt cx="1171532" cy="517530"/>
        </a:xfrm>
      </xdr:grpSpPr>
      <xdr:sp macro="" textlink="">
        <xdr:nvSpPr>
          <xdr:cNvPr id="18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08514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18479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142875</xdr:rowOff>
    </xdr:to>
    <xdr:pic>
      <xdr:nvPicPr>
        <xdr:cNvPr id="19500" name="Imagem 5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38100</xdr:rowOff>
    </xdr:from>
    <xdr:to>
      <xdr:col>3</xdr:col>
      <xdr:colOff>19050</xdr:colOff>
      <xdr:row>5</xdr:row>
      <xdr:rowOff>190500</xdr:rowOff>
    </xdr:to>
    <xdr:grpSp>
      <xdr:nvGrpSpPr>
        <xdr:cNvPr id="19501" name="Agrupar 6"/>
        <xdr:cNvGrpSpPr>
          <a:grpSpLocks/>
        </xdr:cNvGrpSpPr>
      </xdr:nvGrpSpPr>
      <xdr:grpSpPr bwMode="auto">
        <a:xfrm>
          <a:off x="190500" y="666750"/>
          <a:ext cx="1171575" cy="571500"/>
          <a:chOff x="3335767" y="5244097"/>
          <a:chExt cx="1171532" cy="517530"/>
        </a:xfrm>
      </xdr:grpSpPr>
      <xdr:sp macro="" textlink="">
        <xdr:nvSpPr>
          <xdr:cNvPr id="8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21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19503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zoomScale="108" zoomScaleNormal="115" workbookViewId="0">
      <selection activeCell="G15" sqref="G15"/>
    </sheetView>
  </sheetViews>
  <sheetFormatPr defaultRowHeight="16.5" x14ac:dyDescent="0.3"/>
  <cols>
    <col min="1" max="1" width="3.28515625" style="4" customWidth="1"/>
    <col min="2" max="2" width="2.28515625" style="4" customWidth="1"/>
    <col min="3" max="3" width="27.140625" style="4" customWidth="1"/>
    <col min="4" max="4" width="10.7109375" style="4" customWidth="1"/>
    <col min="5" max="5" width="27" style="4" customWidth="1"/>
    <col min="6" max="6" width="10.7109375" style="4" bestFit="1" customWidth="1"/>
    <col min="7" max="7" width="29.85546875" style="4" customWidth="1"/>
    <col min="8" max="8" width="3.28515625" style="4" customWidth="1"/>
    <col min="9" max="9" width="2.28515625" style="4" customWidth="1"/>
    <col min="10" max="10" width="27.140625" style="4" customWidth="1"/>
    <col min="11" max="11" width="10.7109375" style="4" customWidth="1"/>
    <col min="12" max="12" width="27" style="4" customWidth="1"/>
    <col min="13" max="13" width="10.7109375" style="4" customWidth="1"/>
    <col min="14" max="14" width="29.85546875" style="4" customWidth="1"/>
    <col min="15" max="16384" width="9.140625" style="4"/>
  </cols>
  <sheetData>
    <row r="1" spans="1:14" x14ac:dyDescent="0.3">
      <c r="A1" s="1"/>
      <c r="B1" s="2"/>
      <c r="C1" s="2"/>
      <c r="D1" s="2"/>
      <c r="E1" s="2"/>
      <c r="F1" s="2"/>
      <c r="G1" s="3"/>
      <c r="H1" s="1"/>
      <c r="I1" s="2"/>
      <c r="J1" s="2"/>
      <c r="K1" s="2"/>
      <c r="L1" s="2"/>
      <c r="M1" s="2"/>
      <c r="N1" s="3"/>
    </row>
    <row r="2" spans="1:14" x14ac:dyDescent="0.3">
      <c r="A2" s="5"/>
      <c r="G2" s="6"/>
      <c r="H2" s="5"/>
      <c r="N2" s="6"/>
    </row>
    <row r="3" spans="1:14" ht="22.5" x14ac:dyDescent="0.4">
      <c r="A3" s="5"/>
      <c r="E3" s="7" t="s">
        <v>16</v>
      </c>
      <c r="G3" s="6"/>
      <c r="H3" s="5"/>
      <c r="J3" s="7" t="s">
        <v>47</v>
      </c>
      <c r="L3" s="7"/>
      <c r="N3" s="6"/>
    </row>
    <row r="4" spans="1:14" x14ac:dyDescent="0.3">
      <c r="A4" s="5"/>
      <c r="G4" s="6"/>
      <c r="H4" s="5"/>
      <c r="N4" s="6"/>
    </row>
    <row r="5" spans="1:14" ht="14.45" customHeight="1" x14ac:dyDescent="0.3">
      <c r="A5" s="5"/>
      <c r="E5" s="90" t="s">
        <v>21</v>
      </c>
      <c r="F5" s="90"/>
      <c r="G5" s="91"/>
      <c r="H5" s="5"/>
      <c r="L5" s="90"/>
      <c r="M5" s="90"/>
      <c r="N5" s="91"/>
    </row>
    <row r="6" spans="1:14" x14ac:dyDescent="0.3">
      <c r="A6" s="5"/>
      <c r="E6" s="90"/>
      <c r="F6" s="90"/>
      <c r="G6" s="91"/>
      <c r="H6" s="5"/>
      <c r="L6" s="90"/>
      <c r="M6" s="90"/>
      <c r="N6" s="91"/>
    </row>
    <row r="7" spans="1:14" x14ac:dyDescent="0.3">
      <c r="A7" s="5"/>
      <c r="E7" s="90"/>
      <c r="F7" s="90"/>
      <c r="G7" s="91"/>
      <c r="H7" s="5"/>
      <c r="L7" s="90"/>
      <c r="M7" s="90"/>
      <c r="N7" s="91"/>
    </row>
    <row r="8" spans="1:14" x14ac:dyDescent="0.3">
      <c r="A8" s="5"/>
      <c r="G8" s="14"/>
      <c r="H8" s="5"/>
      <c r="N8" s="14"/>
    </row>
    <row r="9" spans="1:14" ht="36" customHeight="1" x14ac:dyDescent="0.3">
      <c r="A9" s="5"/>
      <c r="C9" s="64">
        <v>209268899.16</v>
      </c>
      <c r="D9" s="22"/>
      <c r="E9" s="75">
        <v>8.5999999999999993E-2</v>
      </c>
      <c r="F9" s="22"/>
      <c r="G9" s="88">
        <v>4629</v>
      </c>
      <c r="H9" s="5"/>
      <c r="J9" s="66">
        <f>((1+DRE!N21/DRE!N23)^12-1)</f>
        <v>0.10873521354160065</v>
      </c>
      <c r="K9" s="22"/>
      <c r="L9" s="66">
        <f>((1+AVERAGE(DRE!G21:N21)/DRE!N23)^12-1)</f>
        <v>0.1003109225762937</v>
      </c>
      <c r="M9" s="56"/>
      <c r="N9" s="57">
        <f>N12/(1+22.5%)</f>
        <v>1.0457878916161225</v>
      </c>
    </row>
    <row r="10" spans="1:14" x14ac:dyDescent="0.3">
      <c r="A10" s="5"/>
      <c r="C10" s="9" t="s">
        <v>17</v>
      </c>
      <c r="D10" s="10"/>
      <c r="E10" s="9" t="s">
        <v>46</v>
      </c>
      <c r="F10" s="10"/>
      <c r="G10" s="18" t="s">
        <v>18</v>
      </c>
      <c r="H10" s="5"/>
      <c r="J10" s="9" t="s">
        <v>45</v>
      </c>
      <c r="K10" s="10"/>
      <c r="L10" s="9" t="s">
        <v>101</v>
      </c>
      <c r="M10" s="10"/>
      <c r="N10" s="18" t="s">
        <v>51</v>
      </c>
    </row>
    <row r="11" spans="1:14" x14ac:dyDescent="0.3">
      <c r="A11" s="5"/>
      <c r="C11" s="10"/>
      <c r="D11" s="10"/>
      <c r="E11" s="10"/>
      <c r="F11" s="10"/>
      <c r="G11" s="19"/>
      <c r="H11" s="5"/>
      <c r="J11" s="10"/>
      <c r="K11" s="10"/>
      <c r="L11" s="10"/>
      <c r="M11" s="10"/>
      <c r="N11" s="19"/>
    </row>
    <row r="12" spans="1:14" ht="36" customHeight="1" x14ac:dyDescent="0.3">
      <c r="A12" s="5"/>
      <c r="C12" s="15">
        <f>C9/21021208</f>
        <v>9.9551319391349917</v>
      </c>
      <c r="D12" s="10"/>
      <c r="E12" s="16" t="s">
        <v>80</v>
      </c>
      <c r="F12" s="10"/>
      <c r="G12" s="71">
        <v>0.9221923099386341</v>
      </c>
      <c r="H12" s="5"/>
      <c r="J12" s="55">
        <v>4.4030545146036326E-2</v>
      </c>
      <c r="K12" s="10"/>
      <c r="L12" s="15">
        <f>AVERAGE(DRE!G21:N21)</f>
        <v>7.9619949873955861E-2</v>
      </c>
      <c r="M12" s="10"/>
      <c r="N12" s="58">
        <v>1.2810901672297501</v>
      </c>
    </row>
    <row r="13" spans="1:14" x14ac:dyDescent="0.3">
      <c r="A13" s="5"/>
      <c r="C13" s="9" t="s">
        <v>49</v>
      </c>
      <c r="D13" s="10"/>
      <c r="E13" s="9" t="s">
        <v>24</v>
      </c>
      <c r="F13" s="10"/>
      <c r="G13" s="4" t="s">
        <v>82</v>
      </c>
      <c r="H13" s="5"/>
      <c r="J13" s="9" t="s">
        <v>48</v>
      </c>
      <c r="K13" s="10"/>
      <c r="L13" s="9" t="s">
        <v>81</v>
      </c>
      <c r="M13" s="10"/>
      <c r="N13" s="18" t="s">
        <v>52</v>
      </c>
    </row>
    <row r="14" spans="1:14" x14ac:dyDescent="0.3">
      <c r="A14" s="5"/>
      <c r="C14" s="9"/>
      <c r="D14" s="10"/>
      <c r="E14" s="9"/>
      <c r="F14" s="10"/>
      <c r="G14" s="18"/>
      <c r="H14" s="5"/>
      <c r="J14" s="9"/>
      <c r="K14" s="10"/>
      <c r="L14" s="9"/>
      <c r="M14" s="10"/>
      <c r="N14" s="18"/>
    </row>
    <row r="15" spans="1:14" ht="36" x14ac:dyDescent="0.3">
      <c r="A15" s="5"/>
      <c r="C15" s="64">
        <v>209268899.16</v>
      </c>
      <c r="D15" s="10"/>
      <c r="E15" s="21" t="s">
        <v>26</v>
      </c>
      <c r="F15" s="10"/>
      <c r="G15" s="20">
        <v>45295</v>
      </c>
      <c r="H15" s="5"/>
      <c r="J15" s="71">
        <v>0.05</v>
      </c>
      <c r="K15" s="70"/>
      <c r="L15" s="84">
        <v>0.10107434240711216</v>
      </c>
      <c r="M15" s="84"/>
      <c r="N15" s="58">
        <v>0.21934754608458723</v>
      </c>
    </row>
    <row r="16" spans="1:14" x14ac:dyDescent="0.3">
      <c r="A16" s="5"/>
      <c r="C16" s="9" t="s">
        <v>22</v>
      </c>
      <c r="D16" s="10"/>
      <c r="E16" s="9" t="s">
        <v>25</v>
      </c>
      <c r="F16" s="10"/>
      <c r="G16" s="18" t="s">
        <v>19</v>
      </c>
      <c r="H16" s="5"/>
      <c r="J16" s="9" t="s">
        <v>53</v>
      </c>
      <c r="K16" s="10"/>
      <c r="L16" s="9" t="s">
        <v>55</v>
      </c>
      <c r="M16" s="10"/>
      <c r="N16" s="18" t="s">
        <v>54</v>
      </c>
    </row>
    <row r="17" spans="1:14" x14ac:dyDescent="0.3">
      <c r="A17" s="5"/>
      <c r="C17" s="9"/>
      <c r="D17" s="10"/>
      <c r="E17" s="9"/>
      <c r="F17" s="10"/>
      <c r="G17" s="18"/>
      <c r="H17" s="5"/>
      <c r="J17" s="9"/>
      <c r="K17" s="10"/>
      <c r="L17" s="9"/>
      <c r="M17" s="10"/>
      <c r="N17" s="18"/>
    </row>
    <row r="18" spans="1:14" ht="22.5" x14ac:dyDescent="0.3">
      <c r="A18" s="5"/>
      <c r="C18" s="15">
        <f>C15/21021208</f>
        <v>9.9551319391349917</v>
      </c>
      <c r="D18" s="10"/>
      <c r="E18" s="16"/>
      <c r="F18" s="10"/>
      <c r="G18" s="17"/>
      <c r="H18" s="5"/>
      <c r="J18" s="71">
        <v>9.2999999999999999E-2</v>
      </c>
      <c r="K18" s="10"/>
      <c r="L18" s="16"/>
      <c r="M18" s="10"/>
      <c r="N18" s="17"/>
    </row>
    <row r="19" spans="1:14" x14ac:dyDescent="0.3">
      <c r="A19" s="5"/>
      <c r="C19" s="9" t="s">
        <v>50</v>
      </c>
      <c r="D19" s="10"/>
      <c r="E19" s="9" t="s">
        <v>23</v>
      </c>
      <c r="F19" s="23">
        <v>45534</v>
      </c>
      <c r="G19" s="18"/>
      <c r="H19" s="5"/>
      <c r="J19" s="9" t="s">
        <v>102</v>
      </c>
      <c r="K19" s="10"/>
      <c r="L19" s="9"/>
      <c r="M19" s="23"/>
      <c r="N19" s="18"/>
    </row>
    <row r="20" spans="1:14" x14ac:dyDescent="0.3">
      <c r="A20" s="5"/>
      <c r="G20" s="14"/>
      <c r="H20" s="5"/>
      <c r="N20" s="14"/>
    </row>
    <row r="21" spans="1:14" x14ac:dyDescent="0.3">
      <c r="A21" s="5"/>
      <c r="G21" s="6"/>
      <c r="H21" s="5"/>
      <c r="N21" s="6"/>
    </row>
    <row r="22" spans="1:14" x14ac:dyDescent="0.3">
      <c r="A22" s="5"/>
      <c r="G22" s="6"/>
      <c r="H22" s="5"/>
      <c r="N22" s="6"/>
    </row>
    <row r="23" spans="1:14" x14ac:dyDescent="0.3">
      <c r="A23" s="11"/>
      <c r="B23" s="12"/>
      <c r="C23" s="12"/>
      <c r="D23" s="12"/>
      <c r="E23" s="12"/>
      <c r="F23" s="12"/>
      <c r="G23" s="13"/>
      <c r="H23" s="11"/>
      <c r="I23" s="12"/>
      <c r="J23" s="12"/>
      <c r="K23" s="12"/>
      <c r="L23" s="12"/>
      <c r="M23" s="12"/>
      <c r="N23" s="13"/>
    </row>
  </sheetData>
  <mergeCells count="2">
    <mergeCell ref="E5:G7"/>
    <mergeCell ref="L5:N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AC32"/>
  <sheetViews>
    <sheetView showGridLines="0" tabSelected="1" zoomScale="113" zoomScaleNormal="115" workbookViewId="0">
      <selection activeCell="J13" sqref="J13"/>
    </sheetView>
  </sheetViews>
  <sheetFormatPr defaultRowHeight="16.5" x14ac:dyDescent="0.3"/>
  <cols>
    <col min="1" max="3" width="6.7109375" style="4" customWidth="1"/>
    <col min="4" max="4" width="11.5703125" style="67" bestFit="1" customWidth="1"/>
    <col min="5" max="5" width="12" style="4" customWidth="1"/>
    <col min="6" max="6" width="17.5703125" style="4" bestFit="1" customWidth="1"/>
    <col min="7" max="7" width="17.42578125" style="4" bestFit="1" customWidth="1"/>
    <col min="8" max="8" width="11.28515625" style="4" bestFit="1" customWidth="1"/>
    <col min="9" max="9" width="16.7109375" style="4" bestFit="1" customWidth="1"/>
    <col min="10" max="10" width="13.85546875" style="4" bestFit="1" customWidth="1"/>
    <col min="11" max="11" width="14.7109375" style="4" bestFit="1" customWidth="1"/>
    <col min="12" max="12" width="15.85546875" style="4" bestFit="1" customWidth="1"/>
    <col min="13" max="13" width="14.85546875" style="31" customWidth="1"/>
    <col min="14" max="14" width="14.42578125" style="31" bestFit="1" customWidth="1"/>
    <col min="15" max="15" width="15.5703125" style="4" bestFit="1" customWidth="1"/>
    <col min="16" max="16" width="13.5703125" style="4" bestFit="1" customWidth="1"/>
    <col min="17" max="17" width="11.85546875" style="4" bestFit="1" customWidth="1"/>
    <col min="18" max="18" width="9.28515625" style="63" bestFit="1" customWidth="1"/>
    <col min="19" max="19" width="21.5703125" style="4" bestFit="1" customWidth="1"/>
    <col min="20" max="20" width="20" style="4" bestFit="1" customWidth="1"/>
    <col min="21" max="21" width="22.28515625" style="4" bestFit="1" customWidth="1"/>
    <col min="22" max="22" width="10" style="4" bestFit="1" customWidth="1"/>
    <col min="23" max="23" width="24.7109375" style="4" bestFit="1" customWidth="1"/>
    <col min="24" max="24" width="18.5703125" style="4" bestFit="1" customWidth="1"/>
    <col min="25" max="25" width="16.85546875" style="4" bestFit="1" customWidth="1"/>
    <col min="26" max="26" width="21.5703125" style="4" bestFit="1" customWidth="1"/>
    <col min="27" max="27" width="19.85546875" style="4" bestFit="1" customWidth="1"/>
    <col min="28" max="28" width="11.42578125" style="4" bestFit="1" customWidth="1"/>
    <col min="29" max="16384" width="9.140625" style="4"/>
  </cols>
  <sheetData>
    <row r="1" spans="4:29" x14ac:dyDescent="0.3">
      <c r="S1" s="63"/>
      <c r="W1" s="47"/>
      <c r="X1" s="62"/>
    </row>
    <row r="2" spans="4:29" x14ac:dyDescent="0.3">
      <c r="S2" s="63"/>
      <c r="W2" s="47"/>
      <c r="X2" s="62"/>
    </row>
    <row r="3" spans="4:29" x14ac:dyDescent="0.3">
      <c r="S3" s="63"/>
      <c r="W3" s="47"/>
    </row>
    <row r="6" spans="4:29" ht="17.25" thickBot="1" x14ac:dyDescent="0.35"/>
    <row r="7" spans="4:29" x14ac:dyDescent="0.3">
      <c r="E7" s="35" t="s">
        <v>1</v>
      </c>
      <c r="F7" s="36" t="s">
        <v>64</v>
      </c>
      <c r="G7" s="36" t="s">
        <v>65</v>
      </c>
      <c r="H7" s="36" t="s">
        <v>67</v>
      </c>
      <c r="I7" s="36" t="s">
        <v>68</v>
      </c>
      <c r="J7" s="36" t="s">
        <v>69</v>
      </c>
      <c r="K7" s="36" t="s">
        <v>100</v>
      </c>
      <c r="L7" s="36" t="s">
        <v>70</v>
      </c>
      <c r="M7" s="36" t="s">
        <v>71</v>
      </c>
      <c r="N7" s="36" t="s">
        <v>72</v>
      </c>
      <c r="O7" s="36" t="s">
        <v>73</v>
      </c>
      <c r="P7" s="36" t="s">
        <v>0</v>
      </c>
      <c r="Q7" s="36" t="s">
        <v>1</v>
      </c>
      <c r="R7" s="72" t="s">
        <v>20</v>
      </c>
      <c r="S7" s="36" t="s">
        <v>28</v>
      </c>
      <c r="T7" s="36" t="s">
        <v>29</v>
      </c>
      <c r="U7" s="36" t="s">
        <v>27</v>
      </c>
      <c r="V7" s="36" t="s">
        <v>56</v>
      </c>
      <c r="W7" s="36" t="s">
        <v>58</v>
      </c>
      <c r="X7" s="36" t="s">
        <v>74</v>
      </c>
      <c r="Y7" s="36" t="s">
        <v>75</v>
      </c>
      <c r="Z7" s="36" t="s">
        <v>120</v>
      </c>
      <c r="AA7" s="36" t="s">
        <v>138</v>
      </c>
    </row>
    <row r="8" spans="4:29" x14ac:dyDescent="0.3">
      <c r="D8" s="80"/>
      <c r="E8" s="37" t="s">
        <v>78</v>
      </c>
      <c r="F8" s="37" t="s">
        <v>83</v>
      </c>
      <c r="G8" s="25" t="s">
        <v>85</v>
      </c>
      <c r="H8" s="24" t="s">
        <v>3</v>
      </c>
      <c r="I8" s="30">
        <v>9.5000000000000001E-2</v>
      </c>
      <c r="J8" s="30">
        <v>9.3760048177419453E-2</v>
      </c>
      <c r="K8" s="31">
        <v>24250</v>
      </c>
      <c r="L8" s="31">
        <v>24250000</v>
      </c>
      <c r="M8" s="31">
        <v>22269291.697175</v>
      </c>
      <c r="N8" s="31">
        <v>22569589.29025</v>
      </c>
      <c r="O8" s="33">
        <f t="shared" ref="O8:O23" si="0">N8/SUM($N:$N)</f>
        <v>0.10774830401635752</v>
      </c>
      <c r="P8" s="24" t="s">
        <v>2</v>
      </c>
      <c r="Q8" s="29" t="s">
        <v>98</v>
      </c>
      <c r="R8" s="30">
        <v>0.34154929577464788</v>
      </c>
      <c r="S8" s="29" t="s">
        <v>4</v>
      </c>
      <c r="T8" s="60">
        <v>4</v>
      </c>
      <c r="U8" s="32">
        <v>49232</v>
      </c>
      <c r="V8" s="37" t="s">
        <v>15</v>
      </c>
      <c r="W8" s="65">
        <v>0.34677400232768196</v>
      </c>
      <c r="X8" s="25" t="s">
        <v>66</v>
      </c>
      <c r="Y8" s="25" t="s">
        <v>61</v>
      </c>
      <c r="Z8" s="25" t="s">
        <v>15</v>
      </c>
      <c r="AA8" s="25" t="s">
        <v>15</v>
      </c>
    </row>
    <row r="9" spans="4:29" x14ac:dyDescent="0.3">
      <c r="D9" s="80"/>
      <c r="E9" s="37" t="s">
        <v>78</v>
      </c>
      <c r="F9" s="37" t="s">
        <v>91</v>
      </c>
      <c r="G9" s="25" t="s">
        <v>79</v>
      </c>
      <c r="H9" s="24" t="s">
        <v>3</v>
      </c>
      <c r="I9" s="30">
        <v>0.1007</v>
      </c>
      <c r="J9" s="30">
        <v>0.10420831087032112</v>
      </c>
      <c r="K9" s="31">
        <v>21692020</v>
      </c>
      <c r="L9" s="31">
        <v>21999981.60794</v>
      </c>
      <c r="M9" s="31">
        <v>21877970.9368864</v>
      </c>
      <c r="N9" s="31">
        <v>21420652.829799999</v>
      </c>
      <c r="O9" s="33">
        <f t="shared" si="0"/>
        <v>0.10226322613372524</v>
      </c>
      <c r="P9" s="29" t="s">
        <v>2</v>
      </c>
      <c r="Q9" s="29" t="s">
        <v>5</v>
      </c>
      <c r="R9" s="30">
        <v>0.64530683154788249</v>
      </c>
      <c r="S9" s="29" t="s">
        <v>96</v>
      </c>
      <c r="T9" s="60">
        <v>5.1100000000000003</v>
      </c>
      <c r="U9" s="32">
        <v>49202</v>
      </c>
      <c r="V9" s="37" t="s">
        <v>30</v>
      </c>
      <c r="W9" s="65">
        <v>0.1875</v>
      </c>
      <c r="X9" s="25" t="s">
        <v>66</v>
      </c>
      <c r="Y9" s="25" t="s">
        <v>60</v>
      </c>
      <c r="Z9" s="25" t="s">
        <v>15</v>
      </c>
      <c r="AA9" s="25" t="s">
        <v>139</v>
      </c>
      <c r="AB9" s="62"/>
    </row>
    <row r="10" spans="4:29" x14ac:dyDescent="0.3">
      <c r="D10" s="80"/>
      <c r="E10" s="37" t="s">
        <v>78</v>
      </c>
      <c r="F10" s="37" t="s">
        <v>103</v>
      </c>
      <c r="G10" s="25" t="s">
        <v>104</v>
      </c>
      <c r="H10" s="24" t="s">
        <v>3</v>
      </c>
      <c r="I10" s="30">
        <v>9.11E-2</v>
      </c>
      <c r="J10" s="30">
        <v>9.4320966594717559E-2</v>
      </c>
      <c r="K10" s="31">
        <v>20500</v>
      </c>
      <c r="L10" s="31">
        <v>20500000</v>
      </c>
      <c r="M10" s="31">
        <v>20692285.505785</v>
      </c>
      <c r="N10" s="31">
        <v>20884432.973999999</v>
      </c>
      <c r="O10" s="33">
        <f t="shared" si="0"/>
        <v>9.9703286770216087E-2</v>
      </c>
      <c r="P10" s="78" t="s">
        <v>6</v>
      </c>
      <c r="Q10" s="29" t="s">
        <v>6</v>
      </c>
      <c r="R10" s="30">
        <v>0.61</v>
      </c>
      <c r="S10" s="29" t="s">
        <v>4</v>
      </c>
      <c r="T10" s="60">
        <v>7.63</v>
      </c>
      <c r="U10" s="32">
        <v>14305</v>
      </c>
      <c r="V10" s="39" t="s">
        <v>15</v>
      </c>
      <c r="W10" s="65">
        <v>1.9</v>
      </c>
      <c r="X10" s="25" t="s">
        <v>105</v>
      </c>
      <c r="Y10" s="25" t="s">
        <v>60</v>
      </c>
      <c r="Z10" s="25" t="s">
        <v>15</v>
      </c>
      <c r="AA10" s="25" t="s">
        <v>15</v>
      </c>
    </row>
    <row r="11" spans="4:29" x14ac:dyDescent="0.3">
      <c r="D11" s="80"/>
      <c r="E11" s="37" t="s">
        <v>78</v>
      </c>
      <c r="F11" s="37" t="s">
        <v>90</v>
      </c>
      <c r="G11" s="25" t="s">
        <v>12</v>
      </c>
      <c r="H11" s="24" t="s">
        <v>3</v>
      </c>
      <c r="I11" s="30">
        <v>0.109</v>
      </c>
      <c r="J11" s="30">
        <v>0.10702607113729234</v>
      </c>
      <c r="K11" s="31">
        <v>20455</v>
      </c>
      <c r="L11" s="31">
        <v>20459483.270013601</v>
      </c>
      <c r="M11" s="31">
        <v>20505349.705539297</v>
      </c>
      <c r="N11" s="31">
        <v>20826713.107834999</v>
      </c>
      <c r="O11" s="33">
        <f t="shared" si="0"/>
        <v>9.9427729354999106E-2</v>
      </c>
      <c r="P11" s="29" t="s">
        <v>2</v>
      </c>
      <c r="Q11" s="29" t="s">
        <v>97</v>
      </c>
      <c r="R11" s="30">
        <v>0.33</v>
      </c>
      <c r="S11" s="29" t="s">
        <v>4</v>
      </c>
      <c r="T11" s="60">
        <v>3</v>
      </c>
      <c r="U11" s="32">
        <v>45962</v>
      </c>
      <c r="V11" s="37" t="s">
        <v>57</v>
      </c>
      <c r="W11" s="65" t="s">
        <v>15</v>
      </c>
      <c r="X11" s="25" t="s">
        <v>66</v>
      </c>
      <c r="Y11" s="25" t="s">
        <v>61</v>
      </c>
      <c r="Z11" s="25" t="s">
        <v>126</v>
      </c>
      <c r="AA11" s="25" t="s">
        <v>15</v>
      </c>
    </row>
    <row r="12" spans="4:29" x14ac:dyDescent="0.3">
      <c r="D12" s="80"/>
      <c r="E12" s="37" t="s">
        <v>78</v>
      </c>
      <c r="F12" s="37" t="s">
        <v>89</v>
      </c>
      <c r="G12" s="25" t="s">
        <v>84</v>
      </c>
      <c r="H12" s="24" t="s">
        <v>3</v>
      </c>
      <c r="I12" s="30">
        <v>9.7000000000000003E-2</v>
      </c>
      <c r="J12" s="30">
        <v>9.6203291888393716E-2</v>
      </c>
      <c r="K12" s="31">
        <v>20400</v>
      </c>
      <c r="L12" s="31">
        <v>20336749.859976001</v>
      </c>
      <c r="M12" s="31">
        <v>18598962.552648</v>
      </c>
      <c r="N12" s="31">
        <v>18859023.922800001</v>
      </c>
      <c r="O12" s="33">
        <f t="shared" si="0"/>
        <v>9.0033886614119471E-2</v>
      </c>
      <c r="P12" s="24" t="s">
        <v>2</v>
      </c>
      <c r="Q12" s="29" t="s">
        <v>5</v>
      </c>
      <c r="R12" s="30">
        <v>0.32</v>
      </c>
      <c r="S12" s="29" t="s">
        <v>94</v>
      </c>
      <c r="T12" s="60">
        <v>4.3</v>
      </c>
      <c r="U12" s="32">
        <v>48601</v>
      </c>
      <c r="V12" s="37" t="s">
        <v>15</v>
      </c>
      <c r="W12" s="65">
        <v>0.33</v>
      </c>
      <c r="X12" s="25" t="s">
        <v>66</v>
      </c>
      <c r="Y12" s="25" t="s">
        <v>63</v>
      </c>
      <c r="Z12" s="25" t="s">
        <v>124</v>
      </c>
      <c r="AA12" s="25" t="s">
        <v>139</v>
      </c>
      <c r="AB12" s="62"/>
    </row>
    <row r="13" spans="4:29" x14ac:dyDescent="0.3">
      <c r="D13" s="80"/>
      <c r="E13" s="37" t="s">
        <v>78</v>
      </c>
      <c r="F13" s="37" t="s">
        <v>99</v>
      </c>
      <c r="G13" s="25" t="s">
        <v>86</v>
      </c>
      <c r="H13" s="24" t="s">
        <v>87</v>
      </c>
      <c r="I13" s="30">
        <v>9.2999999999999999E-2</v>
      </c>
      <c r="J13" s="30">
        <v>9.3687965824775343E-2</v>
      </c>
      <c r="K13" s="31">
        <v>21236</v>
      </c>
      <c r="L13" s="31">
        <v>21464140.089989081</v>
      </c>
      <c r="M13" s="31">
        <v>18916548.650005162</v>
      </c>
      <c r="N13" s="31">
        <v>18839512.813023999</v>
      </c>
      <c r="O13" s="33">
        <f t="shared" si="0"/>
        <v>8.9940739638301473E-2</v>
      </c>
      <c r="P13" s="29" t="s">
        <v>5</v>
      </c>
      <c r="Q13" s="29" t="s">
        <v>5</v>
      </c>
      <c r="R13" s="30">
        <v>0.40373238038514991</v>
      </c>
      <c r="S13" s="29" t="s">
        <v>95</v>
      </c>
      <c r="T13" s="60">
        <v>4.0999999999999996</v>
      </c>
      <c r="U13" s="32">
        <v>49232</v>
      </c>
      <c r="V13" s="37" t="s">
        <v>30</v>
      </c>
      <c r="W13" s="65">
        <v>0.31</v>
      </c>
      <c r="X13" s="25" t="s">
        <v>88</v>
      </c>
      <c r="Y13" s="25" t="s">
        <v>60</v>
      </c>
      <c r="Z13" s="25" t="s">
        <v>125</v>
      </c>
      <c r="AA13" s="25" t="s">
        <v>140</v>
      </c>
      <c r="AB13" s="62"/>
      <c r="AC13" s="47"/>
    </row>
    <row r="14" spans="4:29" x14ac:dyDescent="0.3">
      <c r="D14" s="80"/>
      <c r="E14" s="37" t="s">
        <v>78</v>
      </c>
      <c r="F14" s="37" t="s">
        <v>106</v>
      </c>
      <c r="G14" s="25" t="s">
        <v>108</v>
      </c>
      <c r="H14" s="24" t="s">
        <v>3</v>
      </c>
      <c r="I14" s="30">
        <v>9.8000000000000004E-2</v>
      </c>
      <c r="J14" s="30">
        <v>9.8072425032996957E-2</v>
      </c>
      <c r="K14" s="31">
        <v>17307</v>
      </c>
      <c r="L14" s="31">
        <v>14500609.970000001</v>
      </c>
      <c r="M14" s="31">
        <v>14074261.87319766</v>
      </c>
      <c r="N14" s="31">
        <v>14075762.971959</v>
      </c>
      <c r="O14" s="33">
        <f t="shared" si="0"/>
        <v>6.7198368940635106E-2</v>
      </c>
      <c r="P14" s="78" t="s">
        <v>6</v>
      </c>
      <c r="Q14" s="29" t="s">
        <v>114</v>
      </c>
      <c r="R14" s="30">
        <v>0.5</v>
      </c>
      <c r="S14" s="29" t="s">
        <v>4</v>
      </c>
      <c r="T14" s="60">
        <v>3</v>
      </c>
      <c r="U14" s="32">
        <v>47352</v>
      </c>
      <c r="V14" s="39" t="s">
        <v>57</v>
      </c>
      <c r="W14" s="65" t="s">
        <v>15</v>
      </c>
      <c r="X14" s="25" t="s">
        <v>66</v>
      </c>
      <c r="Y14" s="25" t="s">
        <v>61</v>
      </c>
      <c r="Z14" s="25" t="s">
        <v>15</v>
      </c>
      <c r="AA14" s="25" t="s">
        <v>15</v>
      </c>
    </row>
    <row r="15" spans="4:29" x14ac:dyDescent="0.3">
      <c r="D15" s="80"/>
      <c r="E15" s="37" t="s">
        <v>78</v>
      </c>
      <c r="F15" s="37" t="s">
        <v>118</v>
      </c>
      <c r="G15" s="25" t="s">
        <v>119</v>
      </c>
      <c r="H15" s="24" t="s">
        <v>3</v>
      </c>
      <c r="I15" s="30">
        <v>0.11</v>
      </c>
      <c r="J15" s="30">
        <v>0.11146491340469078</v>
      </c>
      <c r="K15" s="31">
        <v>10629</v>
      </c>
      <c r="L15" s="31">
        <v>10641854.130000001</v>
      </c>
      <c r="M15" s="31">
        <v>10693430.21054475</v>
      </c>
      <c r="N15" s="31">
        <v>10574292.600774001</v>
      </c>
      <c r="O15" s="33">
        <f t="shared" si="0"/>
        <v>5.048218110013717E-2</v>
      </c>
      <c r="P15" s="29" t="s">
        <v>2</v>
      </c>
      <c r="Q15" s="29" t="s">
        <v>97</v>
      </c>
      <c r="R15" s="30">
        <v>0.38</v>
      </c>
      <c r="S15" s="29" t="s">
        <v>4</v>
      </c>
      <c r="T15" s="60">
        <v>3</v>
      </c>
      <c r="U15" s="32">
        <v>46646</v>
      </c>
      <c r="V15" s="37" t="s">
        <v>57</v>
      </c>
      <c r="W15" s="65" t="s">
        <v>15</v>
      </c>
      <c r="X15" s="25" t="s">
        <v>66</v>
      </c>
      <c r="Y15" s="25" t="s">
        <v>61</v>
      </c>
      <c r="Z15" s="25" t="s">
        <v>127</v>
      </c>
      <c r="AA15" s="25" t="s">
        <v>15</v>
      </c>
    </row>
    <row r="16" spans="4:29" x14ac:dyDescent="0.3">
      <c r="D16" s="80"/>
      <c r="E16" s="37" t="s">
        <v>78</v>
      </c>
      <c r="F16" s="37" t="s">
        <v>9</v>
      </c>
      <c r="G16" s="25" t="s">
        <v>13</v>
      </c>
      <c r="H16" s="24" t="s">
        <v>3</v>
      </c>
      <c r="I16" s="30">
        <v>0.11</v>
      </c>
      <c r="J16" s="30">
        <v>0.10179279327814683</v>
      </c>
      <c r="K16" s="31">
        <v>7096</v>
      </c>
      <c r="L16" s="31">
        <v>6954577.7123256791</v>
      </c>
      <c r="M16" s="31">
        <v>7033652.3768106401</v>
      </c>
      <c r="N16" s="31">
        <v>7632708.8764559999</v>
      </c>
      <c r="O16" s="33">
        <f t="shared" si="0"/>
        <v>3.6438919021180911E-2</v>
      </c>
      <c r="P16" s="29" t="s">
        <v>6</v>
      </c>
      <c r="Q16" s="29" t="s">
        <v>97</v>
      </c>
      <c r="R16" s="30">
        <v>0.77011494252873569</v>
      </c>
      <c r="S16" s="29" t="s">
        <v>4</v>
      </c>
      <c r="T16" s="60">
        <v>3.1</v>
      </c>
      <c r="U16" s="32">
        <v>48871</v>
      </c>
      <c r="V16" s="37" t="s">
        <v>15</v>
      </c>
      <c r="W16" s="65" t="s">
        <v>15</v>
      </c>
      <c r="X16" s="25" t="s">
        <v>66</v>
      </c>
      <c r="Y16" s="25" t="s">
        <v>60</v>
      </c>
      <c r="Z16" s="25" t="s">
        <v>128</v>
      </c>
      <c r="AA16" s="25" t="s">
        <v>15</v>
      </c>
      <c r="AC16" s="47"/>
    </row>
    <row r="17" spans="4:29" x14ac:dyDescent="0.3">
      <c r="D17" s="80"/>
      <c r="E17" s="37" t="s">
        <v>78</v>
      </c>
      <c r="F17" s="37" t="s">
        <v>77</v>
      </c>
      <c r="G17" s="25" t="s">
        <v>76</v>
      </c>
      <c r="H17" s="24" t="s">
        <v>3</v>
      </c>
      <c r="I17" s="25">
        <v>0.12</v>
      </c>
      <c r="J17" s="30">
        <v>0.11755560274781929</v>
      </c>
      <c r="K17" s="31">
        <v>8609</v>
      </c>
      <c r="L17" s="26">
        <v>8636237.58000114</v>
      </c>
      <c r="M17" s="31">
        <v>6850371.0761072803</v>
      </c>
      <c r="N17" s="31">
        <v>6984284.7863429999</v>
      </c>
      <c r="O17" s="33">
        <f t="shared" si="0"/>
        <v>3.3343311250276203E-2</v>
      </c>
      <c r="P17" s="24" t="s">
        <v>6</v>
      </c>
      <c r="Q17" s="24" t="s">
        <v>97</v>
      </c>
      <c r="R17" s="25">
        <v>0.75</v>
      </c>
      <c r="S17" s="24" t="s">
        <v>4</v>
      </c>
      <c r="T17" s="59">
        <v>1.7</v>
      </c>
      <c r="U17" s="28">
        <v>46364</v>
      </c>
      <c r="V17" s="37" t="s">
        <v>30</v>
      </c>
      <c r="W17" s="65">
        <v>0.25</v>
      </c>
      <c r="X17" s="25" t="s">
        <v>66</v>
      </c>
      <c r="Y17" s="25" t="s">
        <v>61</v>
      </c>
      <c r="Z17" s="25" t="s">
        <v>132</v>
      </c>
      <c r="AA17" s="25" t="s">
        <v>15</v>
      </c>
      <c r="AC17" s="63"/>
    </row>
    <row r="18" spans="4:29" x14ac:dyDescent="0.3">
      <c r="D18" s="80"/>
      <c r="E18" s="37" t="s">
        <v>78</v>
      </c>
      <c r="F18" s="37" t="s">
        <v>112</v>
      </c>
      <c r="G18" s="25" t="s">
        <v>110</v>
      </c>
      <c r="H18" s="24" t="s">
        <v>7</v>
      </c>
      <c r="I18" s="30">
        <v>0.16</v>
      </c>
      <c r="J18" s="30">
        <v>0.16014020277845131</v>
      </c>
      <c r="K18" s="31">
        <v>6000</v>
      </c>
      <c r="L18" s="31">
        <v>6000000</v>
      </c>
      <c r="M18" s="31">
        <v>6294137.5226400001</v>
      </c>
      <c r="N18" s="31">
        <v>6291437.5440000007</v>
      </c>
      <c r="O18" s="33">
        <f t="shared" si="0"/>
        <v>3.0035625215549894E-2</v>
      </c>
      <c r="P18" s="78" t="s">
        <v>2</v>
      </c>
      <c r="Q18" s="29" t="s">
        <v>115</v>
      </c>
      <c r="R18" s="79" t="s">
        <v>15</v>
      </c>
      <c r="S18" s="29" t="s">
        <v>93</v>
      </c>
      <c r="T18" s="30" t="s">
        <v>15</v>
      </c>
      <c r="U18" s="32">
        <v>47224</v>
      </c>
      <c r="V18" s="30" t="s">
        <v>15</v>
      </c>
      <c r="W18" s="30" t="s">
        <v>15</v>
      </c>
      <c r="X18" s="25" t="s">
        <v>66</v>
      </c>
      <c r="Y18" s="25" t="s">
        <v>116</v>
      </c>
      <c r="Z18" s="25" t="s">
        <v>15</v>
      </c>
      <c r="AA18" s="25" t="s">
        <v>15</v>
      </c>
    </row>
    <row r="19" spans="4:29" x14ac:dyDescent="0.3">
      <c r="D19" s="80"/>
      <c r="E19" s="37" t="s">
        <v>78</v>
      </c>
      <c r="F19" s="37" t="s">
        <v>121</v>
      </c>
      <c r="G19" s="25" t="s">
        <v>122</v>
      </c>
      <c r="H19" s="24" t="s">
        <v>3</v>
      </c>
      <c r="I19" s="30">
        <v>9.8000000000000004E-2</v>
      </c>
      <c r="J19" s="30">
        <v>9.8000000000000753E-2</v>
      </c>
      <c r="K19" s="31">
        <v>5230</v>
      </c>
      <c r="L19" s="31">
        <v>5230000</v>
      </c>
      <c r="M19" s="31">
        <v>5241739.1234320998</v>
      </c>
      <c r="N19" s="31">
        <v>5230086.7500099996</v>
      </c>
      <c r="O19" s="33">
        <f t="shared" si="0"/>
        <v>2.4968685514159771E-2</v>
      </c>
      <c r="P19" s="29" t="s">
        <v>2</v>
      </c>
      <c r="Q19" s="29" t="s">
        <v>97</v>
      </c>
      <c r="R19" s="30">
        <v>0.53</v>
      </c>
      <c r="S19" s="29" t="s">
        <v>4</v>
      </c>
      <c r="T19" s="60">
        <v>4</v>
      </c>
      <c r="U19" s="32">
        <v>46593</v>
      </c>
      <c r="V19" s="30" t="s">
        <v>15</v>
      </c>
      <c r="W19" s="30" t="s">
        <v>15</v>
      </c>
      <c r="X19" s="25" t="s">
        <v>66</v>
      </c>
      <c r="Y19" s="25" t="s">
        <v>61</v>
      </c>
      <c r="Z19" s="25" t="s">
        <v>130</v>
      </c>
      <c r="AA19" s="25" t="s">
        <v>15</v>
      </c>
    </row>
    <row r="20" spans="4:29" x14ac:dyDescent="0.3">
      <c r="D20" s="80"/>
      <c r="E20" s="37" t="s">
        <v>78</v>
      </c>
      <c r="F20" s="37" t="s">
        <v>113</v>
      </c>
      <c r="G20" s="25" t="s">
        <v>111</v>
      </c>
      <c r="H20" s="24" t="s">
        <v>7</v>
      </c>
      <c r="I20" s="30">
        <v>0.16</v>
      </c>
      <c r="J20" s="30">
        <v>0.16014020277845131</v>
      </c>
      <c r="K20" s="31">
        <v>4000</v>
      </c>
      <c r="L20" s="31">
        <v>4000000</v>
      </c>
      <c r="M20" s="31">
        <v>4196091.6817600001</v>
      </c>
      <c r="N20" s="31">
        <v>4194291.6960000005</v>
      </c>
      <c r="O20" s="33">
        <f t="shared" si="0"/>
        <v>2.002375014369993E-2</v>
      </c>
      <c r="P20" s="78" t="s">
        <v>2</v>
      </c>
      <c r="Q20" s="29" t="s">
        <v>115</v>
      </c>
      <c r="R20" s="79" t="s">
        <v>15</v>
      </c>
      <c r="S20" s="29" t="s">
        <v>93</v>
      </c>
      <c r="T20" s="30" t="s">
        <v>15</v>
      </c>
      <c r="U20" s="32">
        <v>47224</v>
      </c>
      <c r="V20" s="30" t="s">
        <v>15</v>
      </c>
      <c r="W20" s="30" t="s">
        <v>15</v>
      </c>
      <c r="X20" s="25" t="s">
        <v>66</v>
      </c>
      <c r="Y20" s="25" t="s">
        <v>116</v>
      </c>
      <c r="Z20" s="25" t="s">
        <v>15</v>
      </c>
      <c r="AA20" s="25" t="s">
        <v>15</v>
      </c>
    </row>
    <row r="21" spans="4:29" x14ac:dyDescent="0.3">
      <c r="D21" s="80"/>
      <c r="E21" s="37" t="s">
        <v>78</v>
      </c>
      <c r="F21" s="37" t="s">
        <v>10</v>
      </c>
      <c r="G21" s="25" t="s">
        <v>14</v>
      </c>
      <c r="H21" s="24" t="s">
        <v>59</v>
      </c>
      <c r="I21" s="30">
        <v>0.05</v>
      </c>
      <c r="J21" s="30">
        <v>4.9295636807321408E-2</v>
      </c>
      <c r="K21" s="31">
        <v>4000</v>
      </c>
      <c r="L21" s="31">
        <v>4000000</v>
      </c>
      <c r="M21" s="31">
        <v>4025877.6680000001</v>
      </c>
      <c r="N21" s="31">
        <v>4076449.392</v>
      </c>
      <c r="O21" s="33">
        <f t="shared" si="0"/>
        <v>1.9461165320640465E-2</v>
      </c>
      <c r="P21" s="29" t="s">
        <v>2</v>
      </c>
      <c r="Q21" s="29" t="s">
        <v>97</v>
      </c>
      <c r="R21" s="30">
        <v>0.44679999999999997</v>
      </c>
      <c r="S21" s="29" t="s">
        <v>4</v>
      </c>
      <c r="T21" s="60">
        <v>2.4</v>
      </c>
      <c r="U21" s="32">
        <v>46071</v>
      </c>
      <c r="V21" s="37" t="s">
        <v>15</v>
      </c>
      <c r="W21" s="65" t="s">
        <v>15</v>
      </c>
      <c r="X21" s="25" t="s">
        <v>66</v>
      </c>
      <c r="Y21" s="25" t="s">
        <v>62</v>
      </c>
      <c r="Z21" s="25" t="s">
        <v>129</v>
      </c>
      <c r="AA21" s="25" t="s">
        <v>15</v>
      </c>
    </row>
    <row r="22" spans="4:29" x14ac:dyDescent="0.3">
      <c r="D22" s="80"/>
      <c r="E22" s="37" t="s">
        <v>78</v>
      </c>
      <c r="F22" s="37" t="s">
        <v>133</v>
      </c>
      <c r="G22" s="25" t="s">
        <v>134</v>
      </c>
      <c r="H22" s="24" t="s">
        <v>3</v>
      </c>
      <c r="I22" s="30">
        <v>0.109</v>
      </c>
      <c r="J22" s="30">
        <v>0.109</v>
      </c>
      <c r="K22" s="31">
        <v>3778</v>
      </c>
      <c r="L22" s="31">
        <v>3781882.56</v>
      </c>
      <c r="M22" s="31">
        <v>3793249.5204467401</v>
      </c>
      <c r="N22" s="31">
        <v>3767060.3816419998</v>
      </c>
      <c r="O22" s="33">
        <f t="shared" si="0"/>
        <v>1.7984127315266794E-2</v>
      </c>
      <c r="P22" s="29" t="s">
        <v>2</v>
      </c>
      <c r="Q22" s="29" t="s">
        <v>97</v>
      </c>
      <c r="R22" s="30">
        <v>0.57073170731707312</v>
      </c>
      <c r="S22" s="29" t="s">
        <v>4</v>
      </c>
      <c r="T22" s="60">
        <v>3</v>
      </c>
      <c r="U22" s="32">
        <v>46590</v>
      </c>
      <c r="V22" s="37" t="s">
        <v>15</v>
      </c>
      <c r="W22" s="65" t="s">
        <v>15</v>
      </c>
      <c r="X22" s="25" t="s">
        <v>136</v>
      </c>
      <c r="Y22" s="25" t="s">
        <v>135</v>
      </c>
      <c r="Z22" s="25" t="s">
        <v>137</v>
      </c>
      <c r="AA22" s="25" t="s">
        <v>15</v>
      </c>
    </row>
    <row r="23" spans="4:29" x14ac:dyDescent="0.3">
      <c r="D23" s="80"/>
      <c r="E23" s="37" t="s">
        <v>78</v>
      </c>
      <c r="F23" s="37" t="s">
        <v>107</v>
      </c>
      <c r="G23" s="25" t="s">
        <v>109</v>
      </c>
      <c r="H23" s="24" t="s">
        <v>7</v>
      </c>
      <c r="I23" s="30">
        <v>0.16</v>
      </c>
      <c r="J23" s="30">
        <v>0.16014020277845131</v>
      </c>
      <c r="K23" s="31">
        <v>2500</v>
      </c>
      <c r="L23" s="31">
        <v>2500000</v>
      </c>
      <c r="M23" s="31">
        <v>2622557.3010999998</v>
      </c>
      <c r="N23" s="31">
        <v>2621432.31</v>
      </c>
      <c r="O23" s="33">
        <f t="shared" si="0"/>
        <v>1.2514843839812455E-2</v>
      </c>
      <c r="P23" s="78" t="s">
        <v>2</v>
      </c>
      <c r="Q23" s="29" t="s">
        <v>115</v>
      </c>
      <c r="R23" s="79" t="s">
        <v>15</v>
      </c>
      <c r="S23" s="29" t="s">
        <v>93</v>
      </c>
      <c r="T23" s="30" t="s">
        <v>15</v>
      </c>
      <c r="U23" s="32">
        <v>47224</v>
      </c>
      <c r="V23" s="30" t="s">
        <v>15</v>
      </c>
      <c r="W23" s="30" t="s">
        <v>15</v>
      </c>
      <c r="X23" s="25" t="s">
        <v>66</v>
      </c>
      <c r="Y23" s="25" t="s">
        <v>116</v>
      </c>
      <c r="Z23" s="25" t="s">
        <v>15</v>
      </c>
      <c r="AA23" s="25" t="s">
        <v>15</v>
      </c>
    </row>
    <row r="24" spans="4:29" x14ac:dyDescent="0.3">
      <c r="E24" s="37"/>
      <c r="F24" s="37"/>
      <c r="G24" s="25"/>
      <c r="H24" s="24"/>
      <c r="I24" s="30"/>
      <c r="J24" s="30"/>
      <c r="K24" s="31"/>
      <c r="L24" s="31"/>
      <c r="O24" s="33"/>
      <c r="P24" s="78"/>
      <c r="Q24" s="29"/>
      <c r="R24" s="30"/>
      <c r="S24" s="29"/>
      <c r="T24" s="60"/>
      <c r="U24" s="32"/>
      <c r="V24" s="39"/>
      <c r="W24" s="65"/>
      <c r="X24" s="25"/>
      <c r="Y24" s="25"/>
      <c r="Z24" s="25"/>
    </row>
    <row r="25" spans="4:29" x14ac:dyDescent="0.3">
      <c r="E25" s="37" t="s">
        <v>92</v>
      </c>
      <c r="F25" s="37" t="s">
        <v>117</v>
      </c>
      <c r="G25" s="25" t="s">
        <v>15</v>
      </c>
      <c r="H25" s="24" t="s">
        <v>7</v>
      </c>
      <c r="I25" s="30">
        <v>0.3994094929817591</v>
      </c>
      <c r="J25" s="30">
        <v>0.3994094929817591</v>
      </c>
      <c r="K25" s="26">
        <v>1</v>
      </c>
      <c r="L25" s="31">
        <v>932970.35</v>
      </c>
      <c r="M25" s="31">
        <v>4320057</v>
      </c>
      <c r="N25" s="31">
        <v>4320057</v>
      </c>
      <c r="O25" s="33">
        <f>N25/SUM($N:$N)</f>
        <v>2.0624159749556406E-2</v>
      </c>
      <c r="P25" s="29" t="s">
        <v>2</v>
      </c>
      <c r="Q25" s="29" t="s">
        <v>8</v>
      </c>
      <c r="R25" s="30" t="s">
        <v>15</v>
      </c>
      <c r="S25" s="29" t="s">
        <v>93</v>
      </c>
      <c r="T25" s="30" t="s">
        <v>15</v>
      </c>
      <c r="U25" s="32">
        <v>46844</v>
      </c>
      <c r="V25" s="30" t="s">
        <v>15</v>
      </c>
      <c r="W25" s="30" t="s">
        <v>15</v>
      </c>
      <c r="X25" s="25" t="s">
        <v>15</v>
      </c>
      <c r="Y25" s="30" t="s">
        <v>15</v>
      </c>
      <c r="Z25" s="30" t="s">
        <v>15</v>
      </c>
      <c r="AA25" s="30" t="s">
        <v>15</v>
      </c>
    </row>
    <row r="26" spans="4:29" x14ac:dyDescent="0.3">
      <c r="E26" s="37" t="s">
        <v>11</v>
      </c>
      <c r="F26" s="39" t="s">
        <v>123</v>
      </c>
      <c r="G26" s="25" t="s">
        <v>15</v>
      </c>
      <c r="H26" s="24" t="s">
        <v>11</v>
      </c>
      <c r="I26" s="25" t="s">
        <v>15</v>
      </c>
      <c r="J26" s="25" t="s">
        <v>15</v>
      </c>
      <c r="K26" s="26">
        <v>1</v>
      </c>
      <c r="L26" s="34">
        <f>7477.06+18098400.18-1807823.88</f>
        <v>16298053.359999999</v>
      </c>
      <c r="M26" s="31">
        <f>L26</f>
        <v>16298053.359999999</v>
      </c>
      <c r="N26" s="31">
        <f>M26</f>
        <v>16298053.359999999</v>
      </c>
      <c r="O26" s="33">
        <f>N26/SUM($N:$N)</f>
        <v>7.7807690061365981E-2</v>
      </c>
      <c r="P26" s="29" t="s">
        <v>11</v>
      </c>
      <c r="Q26" s="39" t="s">
        <v>15</v>
      </c>
      <c r="R26" s="30" t="s">
        <v>15</v>
      </c>
      <c r="S26" s="39" t="s">
        <v>15</v>
      </c>
      <c r="T26" s="61" t="s">
        <v>15</v>
      </c>
      <c r="U26" s="39" t="s">
        <v>15</v>
      </c>
      <c r="V26" s="39" t="s">
        <v>15</v>
      </c>
      <c r="W26" s="29" t="s">
        <v>15</v>
      </c>
      <c r="X26" s="39" t="s">
        <v>15</v>
      </c>
      <c r="Y26" s="39" t="s">
        <v>15</v>
      </c>
      <c r="Z26" s="39" t="s">
        <v>15</v>
      </c>
      <c r="AA26" s="39" t="s">
        <v>15</v>
      </c>
    </row>
    <row r="27" spans="4:29" x14ac:dyDescent="0.3">
      <c r="E27" s="37"/>
      <c r="F27" s="39"/>
      <c r="G27" s="25"/>
      <c r="H27" s="24"/>
      <c r="I27" s="30"/>
      <c r="J27" s="25"/>
      <c r="K27" s="25"/>
      <c r="L27" s="34"/>
      <c r="O27" s="27"/>
      <c r="P27" s="29"/>
      <c r="Q27" s="29"/>
      <c r="R27" s="30"/>
      <c r="S27" s="29"/>
      <c r="T27" s="61"/>
      <c r="U27" s="39"/>
      <c r="V27" s="39"/>
      <c r="W27" s="30"/>
      <c r="X27" s="39"/>
      <c r="Y27" s="25"/>
      <c r="Z27" s="25"/>
    </row>
    <row r="28" spans="4:29" x14ac:dyDescent="0.3">
      <c r="E28" s="81" t="s">
        <v>131</v>
      </c>
      <c r="H28"/>
      <c r="I28" s="63"/>
      <c r="L28" s="31"/>
      <c r="O28" s="85"/>
    </row>
    <row r="29" spans="4:29" x14ac:dyDescent="0.3">
      <c r="H29"/>
      <c r="L29" s="86"/>
      <c r="N29" s="86"/>
      <c r="O29" s="87"/>
    </row>
    <row r="32" spans="4:29" x14ac:dyDescent="0.3">
      <c r="F32" s="62"/>
      <c r="G32" s="62"/>
      <c r="H32" s="62"/>
      <c r="I32" s="63"/>
    </row>
  </sheetData>
  <sheetCalcPr fullCalcOnLoad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S33"/>
  <sheetViews>
    <sheetView showGridLines="0" zoomScale="130" zoomScaleNormal="130" workbookViewId="0">
      <selection activeCell="R1" sqref="R1"/>
    </sheetView>
  </sheetViews>
  <sheetFormatPr defaultRowHeight="16.5" x14ac:dyDescent="0.3"/>
  <cols>
    <col min="1" max="3" width="6.7109375" style="4" customWidth="1"/>
    <col min="4" max="4" width="2.140625" style="4" customWidth="1"/>
    <col min="5" max="5" width="1.42578125" style="4" customWidth="1"/>
    <col min="6" max="6" width="26.7109375" style="4" bestFit="1" customWidth="1"/>
    <col min="7" max="7" width="8.140625" style="4" bestFit="1" customWidth="1"/>
    <col min="8" max="8" width="8.42578125" style="4" bestFit="1" customWidth="1"/>
    <col min="9" max="9" width="8.28515625" style="4" bestFit="1" customWidth="1"/>
    <col min="10" max="11" width="8.140625" style="4" bestFit="1" customWidth="1"/>
    <col min="12" max="12" width="8.28515625" style="4" bestFit="1" customWidth="1"/>
    <col min="13" max="13" width="8.140625" style="4" bestFit="1" customWidth="1"/>
    <col min="14" max="14" width="8.42578125" style="4" bestFit="1" customWidth="1"/>
    <col min="15" max="15" width="2" style="4" customWidth="1"/>
    <col min="16" max="16" width="11.28515625" style="4" customWidth="1"/>
    <col min="17" max="17" width="9.28515625" style="4" bestFit="1" customWidth="1"/>
    <col min="18" max="18" width="9.140625" style="4"/>
    <col min="19" max="19" width="10.85546875" style="76" bestFit="1" customWidth="1"/>
    <col min="20" max="16384" width="9.140625" style="4"/>
  </cols>
  <sheetData>
    <row r="8" spans="6:19" s="8" customFormat="1" x14ac:dyDescent="0.3">
      <c r="F8" s="40" t="s">
        <v>31</v>
      </c>
      <c r="G8" s="41">
        <v>45292</v>
      </c>
      <c r="H8" s="73">
        <f t="shared" ref="H8:N8" si="0">EDATE(G8,1)</f>
        <v>45323</v>
      </c>
      <c r="I8" s="73">
        <f t="shared" si="0"/>
        <v>45352</v>
      </c>
      <c r="J8" s="73">
        <f t="shared" si="0"/>
        <v>45383</v>
      </c>
      <c r="K8" s="73">
        <f t="shared" si="0"/>
        <v>45413</v>
      </c>
      <c r="L8" s="73">
        <f t="shared" si="0"/>
        <v>45444</v>
      </c>
      <c r="M8" s="73">
        <f t="shared" si="0"/>
        <v>45474</v>
      </c>
      <c r="N8" s="73">
        <f t="shared" si="0"/>
        <v>45505</v>
      </c>
      <c r="O8" s="4"/>
      <c r="P8" s="41" t="s">
        <v>43</v>
      </c>
      <c r="Q8" s="41" t="s">
        <v>32</v>
      </c>
      <c r="S8" s="89"/>
    </row>
    <row r="9" spans="6:19" x14ac:dyDescent="0.3">
      <c r="F9" s="42" t="s">
        <v>33</v>
      </c>
      <c r="G9" s="43">
        <v>971378.65000002831</v>
      </c>
      <c r="H9" s="43">
        <v>570571.97000002861</v>
      </c>
      <c r="I9" s="43">
        <v>623705.33999999613</v>
      </c>
      <c r="J9" s="43">
        <v>535975.98000001162</v>
      </c>
      <c r="K9" s="43">
        <v>331068.8599999994</v>
      </c>
      <c r="L9" s="43">
        <v>85084.889999996871</v>
      </c>
      <c r="M9" s="43">
        <v>167921.08999999985</v>
      </c>
      <c r="N9" s="43">
        <v>164441.31000000052</v>
      </c>
      <c r="P9" s="43">
        <f>SUM(G9:N9)</f>
        <v>3450148.0900000613</v>
      </c>
      <c r="Q9" s="43">
        <f>SUM(I9:N9)</f>
        <v>1908197.4700000044</v>
      </c>
      <c r="R9" s="62"/>
    </row>
    <row r="10" spans="6:19" x14ac:dyDescent="0.3">
      <c r="F10" s="42" t="s">
        <v>34</v>
      </c>
      <c r="G10" s="43">
        <v>40888.790080000064</v>
      </c>
      <c r="H10" s="43">
        <v>1238091.9521987396</v>
      </c>
      <c r="I10" s="43">
        <v>1468936.0424781642</v>
      </c>
      <c r="J10" s="43">
        <v>1714468.7327987014</v>
      </c>
      <c r="K10" s="43">
        <v>1484398.8855116235</v>
      </c>
      <c r="L10" s="43">
        <v>2086706.7179435091</v>
      </c>
      <c r="M10" s="43">
        <v>1995143.5324496718</v>
      </c>
      <c r="N10" s="43">
        <v>1956615.1825502305</v>
      </c>
      <c r="P10" s="43">
        <f>SUM(G10:N10)</f>
        <v>11985249.83601064</v>
      </c>
      <c r="Q10" s="43">
        <f>SUM(I10:N10)</f>
        <v>10706269.093731901</v>
      </c>
      <c r="R10" s="62"/>
    </row>
    <row r="11" spans="6:19" x14ac:dyDescent="0.3">
      <c r="F11" s="42" t="s">
        <v>35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125000</v>
      </c>
      <c r="M11" s="44">
        <v>0</v>
      </c>
      <c r="N11" s="44">
        <v>125031.66</v>
      </c>
      <c r="P11" s="43">
        <f>SUM(G11:N11)</f>
        <v>250031.66</v>
      </c>
      <c r="Q11" s="43">
        <f>SUM(I11:N11)</f>
        <v>250031.66</v>
      </c>
      <c r="R11" s="62"/>
    </row>
    <row r="12" spans="6:19" x14ac:dyDescent="0.3">
      <c r="F12" s="42" t="s">
        <v>36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P12" s="43">
        <f>SUM(G12:N12)</f>
        <v>0</v>
      </c>
      <c r="Q12" s="43">
        <f>SUM(I12:N12)</f>
        <v>0</v>
      </c>
      <c r="R12" s="62"/>
    </row>
    <row r="13" spans="6:19" x14ac:dyDescent="0.3">
      <c r="F13" s="48" t="s">
        <v>37</v>
      </c>
      <c r="G13" s="49">
        <f t="shared" ref="G13:N13" si="1">SUM(G9:G12)</f>
        <v>1012267.4400800284</v>
      </c>
      <c r="H13" s="49">
        <f t="shared" si="1"/>
        <v>1808663.9221987682</v>
      </c>
      <c r="I13" s="49">
        <f t="shared" si="1"/>
        <v>2092641.3824781603</v>
      </c>
      <c r="J13" s="49">
        <f t="shared" si="1"/>
        <v>2250444.7127987128</v>
      </c>
      <c r="K13" s="49">
        <f t="shared" si="1"/>
        <v>1815467.7455116229</v>
      </c>
      <c r="L13" s="49">
        <f t="shared" si="1"/>
        <v>2296791.607943506</v>
      </c>
      <c r="M13" s="49">
        <f t="shared" si="1"/>
        <v>2163064.6224496718</v>
      </c>
      <c r="N13" s="49">
        <f t="shared" si="1"/>
        <v>2246088.1525502312</v>
      </c>
      <c r="P13" s="83">
        <f>SUM(G13:N13)</f>
        <v>15685429.586010704</v>
      </c>
      <c r="Q13" s="83">
        <f>SUM(I13:N13)</f>
        <v>12864498.223731907</v>
      </c>
      <c r="R13" s="62"/>
    </row>
    <row r="14" spans="6:19" ht="9.75" customHeight="1" x14ac:dyDescent="0.3">
      <c r="P14" s="43"/>
      <c r="Q14" s="43"/>
    </row>
    <row r="15" spans="6:19" x14ac:dyDescent="0.3">
      <c r="F15" s="42" t="s">
        <v>38</v>
      </c>
      <c r="G15" s="45">
        <v>-9888.89</v>
      </c>
      <c r="H15" s="45">
        <v>-231983.99904766399</v>
      </c>
      <c r="I15" s="45">
        <v>-207281.59000000003</v>
      </c>
      <c r="J15" s="45">
        <v>-217172.61000000002</v>
      </c>
      <c r="K15" s="45">
        <v>-271817.36</v>
      </c>
      <c r="L15" s="45">
        <v>-220601.58</v>
      </c>
      <c r="M15" s="45">
        <v>-215131.64</v>
      </c>
      <c r="N15" s="45">
        <v>-268699.78000000003</v>
      </c>
      <c r="P15" s="43">
        <f>SUM(G15:N15)</f>
        <v>-1642577.4490476639</v>
      </c>
      <c r="Q15" s="43">
        <f>SUM(I15:N15)</f>
        <v>-1400704.56</v>
      </c>
      <c r="R15" s="62"/>
    </row>
    <row r="16" spans="6:19" x14ac:dyDescent="0.3">
      <c r="F16" s="50" t="s">
        <v>39</v>
      </c>
      <c r="G16" s="51">
        <f t="shared" ref="G16:N16" si="2">G15</f>
        <v>-9888.89</v>
      </c>
      <c r="H16" s="51">
        <f t="shared" si="2"/>
        <v>-231983.99904766399</v>
      </c>
      <c r="I16" s="51">
        <f t="shared" si="2"/>
        <v>-207281.59000000003</v>
      </c>
      <c r="J16" s="51">
        <f t="shared" si="2"/>
        <v>-217172.61000000002</v>
      </c>
      <c r="K16" s="51">
        <f t="shared" si="2"/>
        <v>-271817.36</v>
      </c>
      <c r="L16" s="51">
        <f t="shared" si="2"/>
        <v>-220601.58</v>
      </c>
      <c r="M16" s="51">
        <f t="shared" si="2"/>
        <v>-215131.64</v>
      </c>
      <c r="N16" s="51">
        <f t="shared" si="2"/>
        <v>-268699.78000000003</v>
      </c>
      <c r="P16" s="83">
        <f>SUM(G16:N16)</f>
        <v>-1642577.4490476639</v>
      </c>
      <c r="Q16" s="83">
        <f>SUM(I16:N16)</f>
        <v>-1400704.56</v>
      </c>
      <c r="R16" s="62"/>
    </row>
    <row r="17" spans="6:19" x14ac:dyDescent="0.3">
      <c r="F17" s="50" t="s">
        <v>40</v>
      </c>
      <c r="G17" s="51">
        <f t="shared" ref="G17:M17" si="3">SUM(G16,G13)</f>
        <v>1002378.5500800284</v>
      </c>
      <c r="H17" s="51">
        <f t="shared" si="3"/>
        <v>1576679.9231511042</v>
      </c>
      <c r="I17" s="51">
        <f t="shared" si="3"/>
        <v>1885359.7924781602</v>
      </c>
      <c r="J17" s="51">
        <f t="shared" si="3"/>
        <v>2033272.1027987127</v>
      </c>
      <c r="K17" s="51">
        <f t="shared" si="3"/>
        <v>1543650.3855116228</v>
      </c>
      <c r="L17" s="51">
        <f t="shared" si="3"/>
        <v>2076190.0279435059</v>
      </c>
      <c r="M17" s="51">
        <f t="shared" si="3"/>
        <v>1947932.9824496717</v>
      </c>
      <c r="N17" s="51">
        <f>SUM(N13,N16)</f>
        <v>1977388.3725502312</v>
      </c>
      <c r="P17" s="83">
        <f>SUM(G17:N17)</f>
        <v>14042852.136963036</v>
      </c>
      <c r="Q17" s="83">
        <f>SUM(I17:N17)</f>
        <v>11463793.663731905</v>
      </c>
      <c r="R17" s="62"/>
    </row>
    <row r="18" spans="6:19" ht="9.75" customHeight="1" x14ac:dyDescent="0.3">
      <c r="P18" s="43"/>
      <c r="Q18" s="43"/>
    </row>
    <row r="19" spans="6:19" x14ac:dyDescent="0.3">
      <c r="F19" s="50" t="s">
        <v>41</v>
      </c>
      <c r="G19" s="49">
        <v>966130.08</v>
      </c>
      <c r="H19" s="49">
        <v>1576590.5999999999</v>
      </c>
      <c r="I19" s="49">
        <v>1807823.13</v>
      </c>
      <c r="J19" s="49">
        <v>1807823.13</v>
      </c>
      <c r="K19" s="49">
        <v>1807823.13</v>
      </c>
      <c r="L19" s="49">
        <v>1807823.13</v>
      </c>
      <c r="M19" s="49">
        <v>1807823.13</v>
      </c>
      <c r="N19" s="49">
        <v>1807823.8879999998</v>
      </c>
      <c r="P19" s="83">
        <f>SUM(G19:N19)</f>
        <v>13389660.217999998</v>
      </c>
      <c r="Q19" s="83">
        <f>SUM(I19:N19)</f>
        <v>10846939.537999999</v>
      </c>
      <c r="R19" s="62"/>
    </row>
    <row r="20" spans="6:19" x14ac:dyDescent="0.3">
      <c r="F20" s="52" t="s">
        <v>42</v>
      </c>
      <c r="G20" s="53">
        <v>21021208</v>
      </c>
      <c r="H20" s="53">
        <v>21021208</v>
      </c>
      <c r="I20" s="53">
        <v>21021208</v>
      </c>
      <c r="J20" s="53">
        <v>21021208</v>
      </c>
      <c r="K20" s="53">
        <v>21021208</v>
      </c>
      <c r="L20" s="53">
        <v>21021208</v>
      </c>
      <c r="M20" s="53">
        <v>21021208</v>
      </c>
      <c r="N20" s="53">
        <v>21021208</v>
      </c>
      <c r="P20" s="53">
        <v>21021208</v>
      </c>
      <c r="Q20" s="53">
        <v>21021208</v>
      </c>
    </row>
    <row r="21" spans="6:19" x14ac:dyDescent="0.3">
      <c r="F21" s="46" t="s">
        <v>141</v>
      </c>
      <c r="G21" s="74">
        <f t="shared" ref="G21:N21" si="4">G19/G20</f>
        <v>4.5959779285757507E-2</v>
      </c>
      <c r="H21" s="74">
        <f t="shared" si="4"/>
        <v>7.4999999999999997E-2</v>
      </c>
      <c r="I21" s="74">
        <f t="shared" si="4"/>
        <v>8.599996394117787E-2</v>
      </c>
      <c r="J21" s="74">
        <f t="shared" si="4"/>
        <v>8.599996394117787E-2</v>
      </c>
      <c r="K21" s="74">
        <f t="shared" si="4"/>
        <v>8.599996394117787E-2</v>
      </c>
      <c r="L21" s="74">
        <f t="shared" si="4"/>
        <v>8.599996394117787E-2</v>
      </c>
      <c r="M21" s="74">
        <f t="shared" si="4"/>
        <v>8.599996394117787E-2</v>
      </c>
      <c r="N21" s="74">
        <f t="shared" si="4"/>
        <v>8.5999999999999993E-2</v>
      </c>
      <c r="P21" s="74">
        <f>AVERAGE($G$21:$N$21)</f>
        <v>7.9619949873955861E-2</v>
      </c>
      <c r="Q21" s="74">
        <f>AVERAGE($G$21:$N$21)</f>
        <v>7.9619949873955861E-2</v>
      </c>
      <c r="S21" s="67"/>
    </row>
    <row r="23" spans="6:19" s="38" customFormat="1" x14ac:dyDescent="0.3">
      <c r="F23" s="50" t="s">
        <v>44</v>
      </c>
      <c r="G23" s="54">
        <f>209449739.44/G20</f>
        <v>9.9637346930775816</v>
      </c>
      <c r="H23" s="54">
        <v>9.9109945579721206</v>
      </c>
      <c r="I23" s="54">
        <v>9.8356521233223138</v>
      </c>
      <c r="J23" s="54">
        <v>9.6880027908006046</v>
      </c>
      <c r="K23" s="54">
        <v>9.6441522176080454</v>
      </c>
      <c r="L23" s="54">
        <v>9.86</v>
      </c>
      <c r="M23" s="54">
        <v>9.9477290125286792</v>
      </c>
      <c r="N23" s="54">
        <v>9.9551319399999993</v>
      </c>
      <c r="P23" s="82"/>
      <c r="Q23" s="4"/>
      <c r="S23" s="77"/>
    </row>
    <row r="24" spans="6:19" x14ac:dyDescent="0.3">
      <c r="P24" s="82"/>
    </row>
    <row r="26" spans="6:19" x14ac:dyDescent="0.3">
      <c r="G26" s="67"/>
      <c r="H26" s="67"/>
      <c r="I26" s="67"/>
      <c r="J26" s="67"/>
      <c r="K26" s="67"/>
      <c r="L26" s="67"/>
      <c r="M26" s="67"/>
      <c r="N26" s="67"/>
      <c r="P26" s="62"/>
      <c r="Q26" s="62"/>
    </row>
    <row r="27" spans="6:19" x14ac:dyDescent="0.3">
      <c r="G27" s="68"/>
      <c r="H27" s="68"/>
      <c r="I27" s="68"/>
      <c r="J27" s="68"/>
      <c r="K27" s="68"/>
      <c r="L27" s="68"/>
      <c r="M27" s="68"/>
      <c r="N27" s="68"/>
      <c r="P27" s="62"/>
      <c r="Q27" s="62"/>
    </row>
    <row r="29" spans="6:19" x14ac:dyDescent="0.3">
      <c r="G29" s="69"/>
      <c r="H29" s="69"/>
      <c r="I29" s="69"/>
      <c r="J29" s="69"/>
      <c r="K29" s="69"/>
      <c r="L29" s="69"/>
      <c r="M29" s="69"/>
      <c r="N29" s="69"/>
    </row>
    <row r="30" spans="6:19" x14ac:dyDescent="0.3">
      <c r="G30" s="69"/>
      <c r="H30" s="69"/>
      <c r="I30" s="69"/>
      <c r="J30" s="69"/>
      <c r="K30" s="69"/>
      <c r="L30" s="69"/>
      <c r="M30" s="69"/>
      <c r="N30" s="69"/>
    </row>
    <row r="32" spans="6:19" x14ac:dyDescent="0.3">
      <c r="G32" s="62"/>
      <c r="H32" s="62"/>
      <c r="I32" s="62"/>
      <c r="J32" s="62"/>
      <c r="K32" s="62"/>
      <c r="L32" s="62"/>
      <c r="M32" s="62"/>
      <c r="N32" s="62"/>
    </row>
    <row r="33" spans="7:14" x14ac:dyDescent="0.3">
      <c r="G33" s="62"/>
      <c r="H33" s="62"/>
      <c r="I33" s="62"/>
      <c r="J33" s="62"/>
      <c r="K33" s="62"/>
      <c r="L33" s="62"/>
      <c r="M33" s="62"/>
      <c r="N33" s="62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G13 Q9:Q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Detalhamento de operações</vt:lpstr>
      <vt:lpstr>DRE</vt:lpstr>
    </vt:vector>
  </TitlesOfParts>
  <Company>Cyrela Brazil Realty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Caio Viana Silva</dc:creator>
  <cp:lastModifiedBy>Caio Viana Silva</cp:lastModifiedBy>
  <cp:lastPrinted>2024-06-14T17:26:38Z</cp:lastPrinted>
  <dcterms:created xsi:type="dcterms:W3CDTF">2023-10-11T17:28:22Z</dcterms:created>
  <dcterms:modified xsi:type="dcterms:W3CDTF">2024-09-18T19:28:31Z</dcterms:modified>
</cp:coreProperties>
</file>