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1570" windowHeight="10160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operações'!$E$7:$AA$23</definedName>
  </definedNames>
  <calcPr calcId="162913" calcMode="manual"/>
</workbook>
</file>

<file path=xl/calcChain.xml><?xml version="1.0" encoding="utf-8"?>
<calcChain xmlns="http://schemas.openxmlformats.org/spreadsheetml/2006/main">
  <c r="N9" i="2" l="1"/>
  <c r="C12" i="2"/>
  <c r="C18" i="2"/>
  <c r="O9" i="3"/>
  <c r="O17" i="3"/>
  <c r="O26" i="3"/>
  <c r="M27" i="3"/>
  <c r="N27" i="3"/>
  <c r="O10" i="3" s="1"/>
  <c r="H8" i="4"/>
  <c r="I8" i="4" s="1"/>
  <c r="J8" i="4" s="1"/>
  <c r="K8" i="4" s="1"/>
  <c r="L8" i="4" s="1"/>
  <c r="M8" i="4" s="1"/>
  <c r="N8" i="4" s="1"/>
  <c r="O8" i="4" s="1"/>
  <c r="Q9" i="4"/>
  <c r="R9" i="4"/>
  <c r="Q10" i="4"/>
  <c r="R10" i="4"/>
  <c r="Q11" i="4"/>
  <c r="R11" i="4"/>
  <c r="Q12" i="4"/>
  <c r="R12" i="4"/>
  <c r="G13" i="4"/>
  <c r="Q13" i="4" s="1"/>
  <c r="H13" i="4"/>
  <c r="I13" i="4"/>
  <c r="J13" i="4"/>
  <c r="K13" i="4"/>
  <c r="R13" i="4" s="1"/>
  <c r="L13" i="4"/>
  <c r="M13" i="4"/>
  <c r="N13" i="4"/>
  <c r="O13" i="4"/>
  <c r="Q15" i="4"/>
  <c r="R15" i="4"/>
  <c r="G16" i="4"/>
  <c r="H16" i="4"/>
  <c r="I16" i="4"/>
  <c r="J16" i="4"/>
  <c r="Q16" i="4" s="1"/>
  <c r="K16" i="4"/>
  <c r="L16" i="4"/>
  <c r="L17" i="4" s="1"/>
  <c r="M16" i="4"/>
  <c r="N16" i="4"/>
  <c r="N17" i="4" s="1"/>
  <c r="O16" i="4"/>
  <c r="G17" i="4"/>
  <c r="H17" i="4"/>
  <c r="I17" i="4"/>
  <c r="K17" i="4"/>
  <c r="M17" i="4"/>
  <c r="O17" i="4"/>
  <c r="R18" i="4"/>
  <c r="Q19" i="4"/>
  <c r="R19" i="4"/>
  <c r="G21" i="4"/>
  <c r="L9" i="2" s="1"/>
  <c r="H21" i="4"/>
  <c r="I21" i="4"/>
  <c r="J21" i="4"/>
  <c r="K21" i="4"/>
  <c r="L21" i="4"/>
  <c r="M21" i="4"/>
  <c r="R21" i="4" s="1"/>
  <c r="N21" i="4"/>
  <c r="O21" i="4"/>
  <c r="J9" i="2" s="1"/>
  <c r="G23" i="4"/>
  <c r="J17" i="4" l="1"/>
  <c r="R17" i="4" s="1"/>
  <c r="O24" i="3"/>
  <c r="O16" i="3"/>
  <c r="O8" i="3"/>
  <c r="O23" i="3"/>
  <c r="O15" i="3"/>
  <c r="O22" i="3"/>
  <c r="O14" i="3"/>
  <c r="L12" i="2"/>
  <c r="O21" i="3"/>
  <c r="O13" i="3"/>
  <c r="Q21" i="4"/>
  <c r="R16" i="4"/>
  <c r="O27" i="3"/>
  <c r="O20" i="3"/>
  <c r="O12" i="3"/>
  <c r="O19" i="3"/>
  <c r="O11" i="3"/>
  <c r="O18" i="3"/>
  <c r="Q17" i="4" l="1"/>
</calcChain>
</file>

<file path=xl/sharedStrings.xml><?xml version="1.0" encoding="utf-8"?>
<sst xmlns="http://schemas.openxmlformats.org/spreadsheetml/2006/main" count="318" uniqueCount="144">
  <si>
    <t>Segmento</t>
  </si>
  <si>
    <t>Tipo</t>
  </si>
  <si>
    <t>Residencial</t>
  </si>
  <si>
    <t>IPCA+</t>
  </si>
  <si>
    <t>Sudeste</t>
  </si>
  <si>
    <t>Pulverizado</t>
  </si>
  <si>
    <t>Comercial</t>
  </si>
  <si>
    <t>INCC+</t>
  </si>
  <si>
    <t>Equity</t>
  </si>
  <si>
    <t>Epiroc</t>
  </si>
  <si>
    <t>Bioma</t>
  </si>
  <si>
    <t>Caixa</t>
  </si>
  <si>
    <t>22J1370286</t>
  </si>
  <si>
    <t>23F2910406</t>
  </si>
  <si>
    <t>23H2512601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</si>
  <si>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</si>
  <si>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</si>
  <si>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</si>
  <si>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</si>
  <si>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</si>
  <si>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</si>
  <si>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</si>
  <si>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</si>
  <si>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</si>
  <si>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</si>
  <si>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</si>
  <si>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</si>
  <si>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</si>
  <si>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</si>
  <si>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</si>
  <si>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</si>
  <si>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Fluxo Financeiro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</si>
  <si>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</si>
  <si>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</si>
  <si>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</si>
  <si>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</si>
  <si>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</si>
  <si>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</si>
  <si>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</si>
  <si>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</si>
  <si>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</si>
  <si>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</si>
  <si>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</si>
  <si>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</si>
  <si>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</si>
  <si>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</si>
  <si>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</si>
  <si>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</si>
  <si>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</si>
  <si>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</si>
  <si>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</si>
  <si>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</si>
  <si>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</si>
  <si>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Rentabilidade futura para ativo CDI +</t>
  </si>
  <si>
    <t>Rentabilidade futura para ativo INCC +</t>
  </si>
  <si>
    <t>Rentabilidade futura para ativo IPCA +</t>
  </si>
  <si>
    <t>Cota</t>
  </si>
  <si>
    <t>Única</t>
  </si>
  <si>
    <t>% Colateral/Subordinação</t>
  </si>
  <si>
    <t>DI+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</si>
  <si>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</si>
  <si>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</si>
  <si>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</si>
  <si>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</si>
  <si>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</si>
  <si>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</si>
  <si>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</si>
  <si>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</si>
  <si>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</si>
  <si>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</si>
  <si>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</si>
  <si>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Saldo curva</t>
  </si>
  <si>
    <t>Saldo MTM</t>
  </si>
  <si>
    <t>% da carteira</t>
  </si>
  <si>
    <t>Agente Fiduciário</t>
  </si>
  <si>
    <t>Securitizadora</t>
  </si>
  <si>
    <t>23H0153033</t>
  </si>
  <si>
    <t>Technion</t>
  </si>
  <si>
    <t>CRI</t>
  </si>
  <si>
    <t>23L1605236</t>
  </si>
  <si>
    <t>1,25% a.a.</t>
  </si>
  <si>
    <t>Dividendos médio desde o início na CETIP</t>
  </si>
  <si>
    <t>Percentual alocado</t>
  </si>
  <si>
    <t>Rio_Bravo</t>
  </si>
  <si>
    <t>24A2020894</t>
  </si>
  <si>
    <t>24A1588305</t>
  </si>
  <si>
    <t>23L2833549</t>
  </si>
  <si>
    <t>IGPM+</t>
  </si>
  <si>
    <t>Planner</t>
  </si>
  <si>
    <t>EBM</t>
  </si>
  <si>
    <t>Harmonia</t>
  </si>
  <si>
    <t>MRV Flex</t>
  </si>
  <si>
    <t>Co-inc</t>
  </si>
  <si>
    <t>Centro-Oeste</t>
  </si>
  <si>
    <t>Sudeste e Centro Oeste</t>
  </si>
  <si>
    <t>Sudeste, Nordeste e Centro Oeste</t>
  </si>
  <si>
    <t>Todo Brasil</t>
  </si>
  <si>
    <t>Obra</t>
  </si>
  <si>
    <t>Aquisição</t>
  </si>
  <si>
    <t>Pulverizado 1</t>
  </si>
  <si>
    <t>Quantidade</t>
  </si>
  <si>
    <t>Yield médio anualizado desde o início</t>
  </si>
  <si>
    <t>Rentabilidade futura para ativo IGPM +</t>
  </si>
  <si>
    <t>Shopping Itaquera</t>
  </si>
  <si>
    <t>24C1526928</t>
  </si>
  <si>
    <t>Vortx</t>
  </si>
  <si>
    <t>PHV</t>
  </si>
  <si>
    <t>EBM - Série 1</t>
  </si>
  <si>
    <t>22H2625201</t>
  </si>
  <si>
    <t>24D3468496</t>
  </si>
  <si>
    <t>24D3470114</t>
  </si>
  <si>
    <t>24D3470625</t>
  </si>
  <si>
    <t>EBM - Série 2</t>
  </si>
  <si>
    <t>EBM - Série 3</t>
  </si>
  <si>
    <t>Giro de Estoque</t>
  </si>
  <si>
    <t>Permuta financeira</t>
  </si>
  <si>
    <t>Habitasec</t>
  </si>
  <si>
    <t>Somos - Level Home Resort</t>
  </si>
  <si>
    <t>Daxo</t>
  </si>
  <si>
    <t>24E2191109</t>
  </si>
  <si>
    <t>Acompanhamento</t>
  </si>
  <si>
    <t>Klabin</t>
  </si>
  <si>
    <t>24F2263347</t>
  </si>
  <si>
    <t>LFT¹</t>
  </si>
  <si>
    <t>Neo - Financeiro</t>
  </si>
  <si>
    <t>Planeta - Financeiro</t>
  </si>
  <si>
    <t>CTE - Obra / Monitori - Financeiro</t>
  </si>
  <si>
    <t>CCC - Obra / CCC - Financeiro</t>
  </si>
  <si>
    <t>PGB - Obra</t>
  </si>
  <si>
    <t>CCC - Obra / OPEA - Financeiro</t>
  </si>
  <si>
    <t>CCC - Obra / Monitori - Financeiro</t>
  </si>
  <si>
    <t>¹ Valor líquido de dividendos pago no montante de R$ 1.807.823,13.</t>
  </si>
  <si>
    <t>Compass - Obra</t>
  </si>
  <si>
    <t>SWA - Patriarca</t>
  </si>
  <si>
    <t>24G1627395</t>
  </si>
  <si>
    <t>Playbanco</t>
  </si>
  <si>
    <t>Trustee DTVM</t>
  </si>
  <si>
    <t>Binswanger - Obra /  Neo - Financeiro</t>
  </si>
  <si>
    <t>Tipo de pulverizado</t>
  </si>
  <si>
    <t>100% residencial</t>
  </si>
  <si>
    <t>33% comercial / 67% residencial</t>
  </si>
  <si>
    <t>Distribuição média por cota (base 10)</t>
  </si>
  <si>
    <t>24I1419236</t>
  </si>
  <si>
    <t>MRV Flex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</si>
</sst>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3" formatCode="_-* #,##0.00_-;\-* #,##0.00_-;_-* &quot;-&quot;??_-;_-@_-"/>
    <numFmt numFmtId="168" formatCode="&quot;R$&quot;\ #,##0.00"/>
    <numFmt numFmtId="170" formatCode="#,##0.000"/>
    <numFmt numFmtId="172" formatCode="#,##0.0"/>
    <numFmt numFmtId="180" formatCode="&quot;R$&quot;\ #,##0.000;[Red]\-&quot;R$&quot;\ #,##0.000"/>
  </numFmts>
  <fonts count="18" x14ac:knownFonts="1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theme="1"/>
      <name val="Darker Grotesque"/>
    </font>
    <font>
      <sz val="9"/>
      <color rgb="FF000000"/>
      <name val="Darker Grotesque"/>
    </font>
    <font>
      <b/>
      <sz val="10"/>
      <color rgb="FFFFFFFF"/>
      <name val="Darker Grotesque"/>
    </font>
    <font>
      <b/>
      <sz val="10"/>
      <color theme="0"/>
      <name val="Darker Grotesque"/>
    </font>
    <font>
      <b/>
      <sz val="9"/>
      <color theme="1"/>
      <name val="Darker Grotesque"/>
    </font>
    <font>
      <sz val="16"/>
      <color theme="1"/>
      <name val="Darker Grotesque"/>
    </font>
    <font>
      <sz val="7"/>
      <color theme="1"/>
      <name val="Darker Grotesque"/>
    </font>
    <font>
      <sz val="10.5"/>
      <color theme="1"/>
      <name val="Calibri"/>
      <family val="2"/>
    </font>
    <font>
      <b/>
      <sz val="11"/>
      <color theme="1"/>
      <name val="Darker Grotesque"/>
    </font>
  </fonts>
  <fills count="7">
    <fill>
      <patternFill patternType="none"/>
    </fill>
    <fill>
      <patternFill patternType="gray125"/>
    </fill>
    <fill>
      <patternFill patternType="solid">
        <fgColor rgb="FF2D15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7"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8" fontId="5" fillId="0" borderId="0" xfId="2" applyNumberFormat="1" applyFont="1" applyAlignment="1">
      <alignment horizontal="left" vertical="center"/>
    </xf>
    <xf numFmtId="8" fontId="5" fillId="0" borderId="0" xfId="0" applyNumberFormat="1" applyFont="1" applyAlignment="1">
      <alignment horizontal="left" vertical="center"/>
    </xf>
    <xf numFmtId="3" fontId="5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4" fontId="5" fillId="0" borderId="10" xfId="0" applyNumberFormat="1" applyFont="1" applyBorder="1" applyAlignment="1">
      <alignment horizontal="left" vertical="center" wrapText="1"/>
    </xf>
    <xf numFmtId="8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 readingOrder="1"/>
    </xf>
    <xf numFmtId="10" fontId="9" fillId="0" borderId="0" xfId="0" applyNumberFormat="1" applyFont="1" applyFill="1" applyBorder="1" applyAlignment="1">
      <alignment horizontal="center" vertical="center" readingOrder="1"/>
    </xf>
    <xf numFmtId="3" fontId="9" fillId="0" borderId="0" xfId="0" applyNumberFormat="1" applyFont="1" applyFill="1" applyBorder="1" applyAlignment="1">
      <alignment horizontal="center" vertical="center" readingOrder="1"/>
    </xf>
    <xf numFmtId="10" fontId="9" fillId="0" borderId="0" xfId="1" applyNumberFormat="1" applyFont="1" applyFill="1" applyBorder="1" applyAlignment="1">
      <alignment horizontal="center" vertical="center" readingOrder="1"/>
    </xf>
    <xf numFmtId="17" fontId="9" fillId="0" borderId="0" xfId="0" applyNumberFormat="1" applyFont="1" applyFill="1" applyBorder="1" applyAlignment="1">
      <alignment horizontal="center" vertical="center" readingOrder="1"/>
    </xf>
    <xf numFmtId="0" fontId="10" fillId="0" borderId="0" xfId="0" applyFont="1" applyFill="1" applyBorder="1" applyAlignment="1">
      <alignment horizontal="center" vertical="center" readingOrder="1"/>
    </xf>
    <xf numFmtId="10" fontId="10" fillId="0" borderId="0" xfId="0" applyNumberFormat="1" applyFont="1" applyFill="1" applyBorder="1" applyAlignment="1">
      <alignment horizontal="center" vertical="center" readingOrder="1"/>
    </xf>
    <xf numFmtId="3" fontId="10" fillId="0" borderId="0" xfId="0" applyNumberFormat="1" applyFont="1" applyFill="1" applyBorder="1" applyAlignment="1">
      <alignment horizontal="center" vertical="center" readingOrder="1"/>
    </xf>
    <xf numFmtId="17" fontId="10" fillId="0" borderId="0" xfId="0" applyNumberFormat="1" applyFont="1" applyFill="1" applyBorder="1" applyAlignment="1">
      <alignment horizontal="center" vertical="center" readingOrder="1"/>
    </xf>
    <xf numFmtId="10" fontId="10" fillId="0" borderId="0" xfId="1" applyNumberFormat="1" applyFont="1" applyFill="1" applyBorder="1" applyAlignment="1">
      <alignment horizontal="center" vertical="center" readingOrder="1"/>
    </xf>
    <xf numFmtId="3" fontId="1" fillId="0" borderId="0" xfId="0" applyNumberFormat="1" applyFont="1" applyFill="1" applyBorder="1" applyAlignment="1">
      <alignment horizontal="center" vertical="center" readingOrder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readingOrder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center"/>
    </xf>
    <xf numFmtId="0" fontId="12" fillId="3" borderId="1" xfId="0" applyFont="1" applyFill="1" applyBorder="1" applyAlignment="1">
      <alignment vertical="center"/>
    </xf>
    <xf numFmtId="17" fontId="12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3" fontId="4" fillId="0" borderId="0" xfId="0" applyNumberFormat="1" applyFont="1"/>
    <xf numFmtId="3" fontId="13" fillId="5" borderId="0" xfId="0" applyNumberFormat="1" applyFont="1" applyFill="1" applyBorder="1" applyAlignment="1">
      <alignment horizontal="left" vertical="center"/>
    </xf>
    <xf numFmtId="3" fontId="13" fillId="5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center" vertical="center"/>
    </xf>
    <xf numFmtId="4" fontId="13" fillId="5" borderId="0" xfId="0" applyNumberFormat="1" applyFont="1" applyFill="1" applyBorder="1" applyAlignment="1">
      <alignment horizontal="center" vertical="center"/>
    </xf>
    <xf numFmtId="10" fontId="5" fillId="0" borderId="0" xfId="2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0" fontId="5" fillId="0" borderId="10" xfId="0" applyNumberFormat="1" applyFont="1" applyBorder="1" applyAlignment="1">
      <alignment horizontal="left" vertical="center"/>
    </xf>
    <xf numFmtId="10" fontId="5" fillId="0" borderId="10" xfId="2" applyNumberFormat="1" applyFont="1" applyBorder="1" applyAlignment="1">
      <alignment horizontal="left" vertical="center"/>
    </xf>
    <xf numFmtId="172" fontId="9" fillId="0" borderId="0" xfId="0" applyNumberFormat="1" applyFont="1" applyFill="1" applyBorder="1" applyAlignment="1">
      <alignment horizontal="center" vertical="center" readingOrder="1"/>
    </xf>
    <xf numFmtId="172" fontId="10" fillId="0" borderId="0" xfId="0" applyNumberFormat="1" applyFont="1" applyFill="1" applyBorder="1" applyAlignment="1">
      <alignment horizontal="center" vertical="center" readingOrder="1"/>
    </xf>
    <xf numFmtId="172" fontId="9" fillId="0" borderId="0" xfId="0" applyNumberFormat="1" applyFont="1" applyFill="1" applyAlignment="1">
      <alignment horizontal="center"/>
    </xf>
    <xf numFmtId="4" fontId="4" fillId="0" borderId="0" xfId="0" applyNumberFormat="1" applyFont="1"/>
    <xf numFmtId="10" fontId="4" fillId="0" borderId="0" xfId="0" applyNumberFormat="1" applyFont="1"/>
    <xf numFmtId="168" fontId="5" fillId="0" borderId="0" xfId="2" applyNumberFormat="1" applyFont="1" applyAlignment="1">
      <alignment horizontal="left" vertical="center" wrapText="1"/>
    </xf>
    <xf numFmtId="10" fontId="9" fillId="0" borderId="0" xfId="0" applyNumberFormat="1" applyFont="1" applyAlignment="1">
      <alignment horizontal="center"/>
    </xf>
    <xf numFmtId="10" fontId="5" fillId="0" borderId="0" xfId="1" applyNumberFormat="1" applyFont="1" applyFill="1" applyAlignment="1">
      <alignment horizontal="left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vertical="center"/>
    </xf>
    <xf numFmtId="10" fontId="5" fillId="0" borderId="0" xfId="2" applyNumberFormat="1" applyFont="1" applyFill="1" applyAlignment="1">
      <alignment horizontal="left" vertical="center"/>
    </xf>
    <xf numFmtId="10" fontId="11" fillId="2" borderId="11" xfId="0" applyNumberFormat="1" applyFont="1" applyFill="1" applyBorder="1" applyAlignment="1">
      <alignment horizontal="center" vertical="center" readingOrder="1"/>
    </xf>
    <xf numFmtId="17" fontId="12" fillId="3" borderId="0" xfId="0" applyNumberFormat="1" applyFont="1" applyFill="1" applyBorder="1" applyAlignment="1">
      <alignment horizontal="center"/>
    </xf>
    <xf numFmtId="170" fontId="13" fillId="4" borderId="0" xfId="0" applyNumberFormat="1" applyFont="1" applyFill="1" applyBorder="1" applyAlignment="1">
      <alignment horizontal="center" vertical="center"/>
    </xf>
    <xf numFmtId="180" fontId="5" fillId="0" borderId="0" xfId="0" applyNumberFormat="1" applyFont="1" applyAlignment="1">
      <alignment horizontal="left" vertical="center"/>
    </xf>
    <xf numFmtId="0" fontId="10" fillId="0" borderId="0" xfId="0" quotePrefix="1" applyFont="1" applyFill="1" applyBorder="1" applyAlignment="1">
      <alignment horizontal="center" vertical="center" readingOrder="1"/>
    </xf>
    <xf numFmtId="9" fontId="10" fillId="0" borderId="0" xfId="0" applyNumberFormat="1" applyFont="1" applyFill="1" applyBorder="1" applyAlignment="1">
      <alignment horizontal="center" vertical="center" readingOrder="1"/>
    </xf>
    <xf numFmtId="172" fontId="4" fillId="0" borderId="0" xfId="0" applyNumberFormat="1" applyFont="1" applyAlignment="1">
      <alignment horizontal="center"/>
    </xf>
    <xf numFmtId="0" fontId="15" fillId="0" borderId="0" xfId="0" applyFont="1" applyAlignment="1"/>
    <xf numFmtId="3" fontId="4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0" fontId="5" fillId="0" borderId="0" xfId="2" applyNumberFormat="1" applyFont="1" applyBorder="1" applyAlignment="1">
      <alignment horizontal="left" vertical="center"/>
    </xf>
    <xf numFmtId="10" fontId="16" fillId="0" borderId="0" xfId="2" applyNumberFormat="1" applyFont="1" applyFill="1" applyBorder="1" applyAlignment="1">
      <alignment horizontal="center" vertical="center" readingOrder="1"/>
    </xf>
    <xf numFmtId="3" fontId="16" fillId="0" borderId="0" xfId="0" applyNumberFormat="1" applyFont="1" applyFill="1" applyBorder="1" applyAlignment="1">
      <alignment horizontal="center" vertical="center" readingOrder="1"/>
    </xf>
    <xf numFmtId="10" fontId="16" fillId="0" borderId="0" xfId="0" applyNumberFormat="1" applyFont="1" applyFill="1" applyBorder="1" applyAlignment="1">
      <alignment horizontal="center" vertical="center" readingOrder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" fontId="16" fillId="0" borderId="0" xfId="2" applyNumberFormat="1" applyFont="1" applyFill="1" applyBorder="1" applyAlignment="1">
      <alignment horizontal="center" vertical="center" readingOrder="1"/>
    </xf>
    <xf numFmtId="3" fontId="16" fillId="0" borderId="0" xfId="2" applyNumberFormat="1" applyFont="1" applyFill="1" applyBorder="1" applyAlignment="1">
      <alignment horizontal="center" vertical="center" readingOrder="1"/>
    </xf>
    <xf numFmtId="172" fontId="10" fillId="6" borderId="0" xfId="0" applyNumberFormat="1" applyFont="1" applyFill="1" applyBorder="1" applyAlignment="1">
      <alignment horizontal="center" vertical="center" readingOrder="1"/>
    </xf>
    <xf numFmtId="17" fontId="10" fillId="6" borderId="0" xfId="0" applyNumberFormat="1" applyFont="1" applyFill="1" applyBorder="1" applyAlignment="1">
      <alignment horizontal="center" vertical="center" readingOrder="1"/>
    </xf>
    <xf numFmtId="10" fontId="10" fillId="6" borderId="0" xfId="0" applyNumberFormat="1" applyFont="1" applyFill="1" applyBorder="1" applyAlignment="1">
      <alignment horizontal="center" vertical="center" readingOrder="1"/>
    </xf>
    <xf numFmtId="4" fontId="17" fillId="0" borderId="0" xfId="0" applyNumberFormat="1" applyFont="1"/>
    <xf numFmtId="3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196850</xdr:rowOff>
    </xdr:from>
    <xdr:to>
      <xdr:col>2</xdr:col>
      <xdr:colOff>1549400</xdr:colOff>
      <xdr:row>3</xdr:row>
      <xdr:rowOff>165100</xdr:rowOff>
    </xdr:to>
    <xdr:pic>
      <xdr:nvPicPr>
        <xdr:cNvPr id="20585" name="Imagem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00050"/>
          <a:ext cx="14986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4</xdr:row>
      <xdr:rowOff>69850</xdr:rowOff>
    </xdr:from>
    <xdr:to>
      <xdr:col>2</xdr:col>
      <xdr:colOff>1416050</xdr:colOff>
      <xdr:row>7</xdr:row>
      <xdr:rowOff>38100</xdr:rowOff>
    </xdr:to>
    <xdr:grpSp>
      <xdr:nvGrpSpPr>
        <xdr:cNvPr id="20586" name="Agrupar 11"/>
        <xdr:cNvGrpSpPr>
          <a:grpSpLocks/>
        </xdr:cNvGrpSpPr>
      </xdr:nvGrpSpPr>
      <xdr:grpSpPr bwMode="auto">
        <a:xfrm>
          <a:off x="578556" y="981193"/>
          <a:ext cx="1225550" cy="562092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173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0599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123248</xdr:rowOff>
    </xdr:from>
    <xdr:to>
      <xdr:col>14</xdr:col>
      <xdr:colOff>1</xdr:colOff>
      <xdr:row>20</xdr:row>
      <xdr:rowOff>123248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50800</xdr:colOff>
      <xdr:row>1</xdr:row>
      <xdr:rowOff>196850</xdr:rowOff>
    </xdr:from>
    <xdr:to>
      <xdr:col>2</xdr:col>
      <xdr:colOff>1549400</xdr:colOff>
      <xdr:row>3</xdr:row>
      <xdr:rowOff>165100</xdr:rowOff>
    </xdr:to>
    <xdr:pic>
      <xdr:nvPicPr>
        <xdr:cNvPr id="20588" name="Imagem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00050"/>
          <a:ext cx="14986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4</xdr:row>
      <xdr:rowOff>69850</xdr:rowOff>
    </xdr:from>
    <xdr:to>
      <xdr:col>2</xdr:col>
      <xdr:colOff>1416050</xdr:colOff>
      <xdr:row>7</xdr:row>
      <xdr:rowOff>38100</xdr:rowOff>
    </xdr:to>
    <xdr:grpSp>
      <xdr:nvGrpSpPr>
        <xdr:cNvPr id="20589" name="Agrupar 11"/>
        <xdr:cNvGrpSpPr>
          <a:grpSpLocks/>
        </xdr:cNvGrpSpPr>
      </xdr:nvGrpSpPr>
      <xdr:grpSpPr bwMode="auto">
        <a:xfrm>
          <a:off x="578556" y="981193"/>
          <a:ext cx="1225550" cy="562092"/>
          <a:chOff x="3335767" y="5244097"/>
          <a:chExt cx="1171532" cy="517530"/>
        </a:xfrm>
      </xdr:grpSpPr>
      <xdr:sp macro="" textlink="">
        <xdr:nvSpPr>
          <xdr:cNvPr id="9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173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0597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123248</xdr:rowOff>
    </xdr:from>
    <xdr:to>
      <xdr:col>14</xdr:col>
      <xdr:colOff>0</xdr:colOff>
      <xdr:row>20</xdr:row>
      <xdr:rowOff>123248</xdr:rowOff>
    </xdr:to>
    <xdr:cxnSp macro="">
      <xdr:nvCxnSpPr>
        <xdr:cNvPr id="11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7416800" y="4834948"/>
          <a:ext cx="7385050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50800</xdr:colOff>
      <xdr:row>1</xdr:row>
      <xdr:rowOff>196850</xdr:rowOff>
    </xdr:from>
    <xdr:to>
      <xdr:col>2</xdr:col>
      <xdr:colOff>1549400</xdr:colOff>
      <xdr:row>3</xdr:row>
      <xdr:rowOff>165100</xdr:rowOff>
    </xdr:to>
    <xdr:pic>
      <xdr:nvPicPr>
        <xdr:cNvPr id="20591" name="Imagem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00050"/>
          <a:ext cx="14986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4</xdr:row>
      <xdr:rowOff>69850</xdr:rowOff>
    </xdr:from>
    <xdr:to>
      <xdr:col>2</xdr:col>
      <xdr:colOff>1416050</xdr:colOff>
      <xdr:row>7</xdr:row>
      <xdr:rowOff>38100</xdr:rowOff>
    </xdr:to>
    <xdr:grpSp>
      <xdr:nvGrpSpPr>
        <xdr:cNvPr id="20592" name="Agrupar 11"/>
        <xdr:cNvGrpSpPr>
          <a:grpSpLocks/>
        </xdr:cNvGrpSpPr>
      </xdr:nvGrpSpPr>
      <xdr:grpSpPr bwMode="auto">
        <a:xfrm>
          <a:off x="578556" y="981193"/>
          <a:ext cx="1225550" cy="562092"/>
          <a:chOff x="3335767" y="5244097"/>
          <a:chExt cx="1171532" cy="517530"/>
        </a:xfrm>
      </xdr:grpSpPr>
      <xdr:sp macro="" textlink="">
        <xdr:nvSpPr>
          <xdr:cNvPr id="15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1739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0595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123248</xdr:rowOff>
    </xdr:from>
    <xdr:to>
      <xdr:col>14</xdr:col>
      <xdr:colOff>0</xdr:colOff>
      <xdr:row>20</xdr:row>
      <xdr:rowOff>123248</xdr:rowOff>
    </xdr:to>
    <xdr:cxnSp macro="">
      <xdr:nvCxnSpPr>
        <xdr:cNvPr id="17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7416800" y="4834948"/>
          <a:ext cx="7385050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95250</xdr:rowOff>
    </xdr:from>
    <xdr:to>
      <xdr:col>3</xdr:col>
      <xdr:colOff>152400</xdr:colOff>
      <xdr:row>2</xdr:row>
      <xdr:rowOff>139700</xdr:rowOff>
    </xdr:to>
    <xdr:pic>
      <xdr:nvPicPr>
        <xdr:cNvPr id="21560" name="Imagem 1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95250"/>
          <a:ext cx="14922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203200</xdr:colOff>
      <xdr:row>3</xdr:row>
      <xdr:rowOff>38100</xdr:rowOff>
    </xdr:from>
    <xdr:to>
      <xdr:col>3</xdr:col>
      <xdr:colOff>19050</xdr:colOff>
      <xdr:row>5</xdr:row>
      <xdr:rowOff>203200</xdr:rowOff>
    </xdr:to>
    <xdr:grpSp>
      <xdr:nvGrpSpPr>
        <xdr:cNvPr id="21561" name="Agrupar 16"/>
        <xdr:cNvGrpSpPr>
          <a:grpSpLocks/>
        </xdr:cNvGrpSpPr>
      </xdr:nvGrpSpPr>
      <xdr:grpSpPr bwMode="auto">
        <a:xfrm>
          <a:off x="203200" y="643218"/>
          <a:ext cx="1227791" cy="568511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9256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1567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69850</xdr:colOff>
      <xdr:row>0</xdr:row>
      <xdr:rowOff>95250</xdr:rowOff>
    </xdr:from>
    <xdr:to>
      <xdr:col>3</xdr:col>
      <xdr:colOff>152400</xdr:colOff>
      <xdr:row>2</xdr:row>
      <xdr:rowOff>139700</xdr:rowOff>
    </xdr:to>
    <xdr:pic>
      <xdr:nvPicPr>
        <xdr:cNvPr id="21562" name="Imagem 1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95250"/>
          <a:ext cx="14922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203200</xdr:colOff>
      <xdr:row>3</xdr:row>
      <xdr:rowOff>38100</xdr:rowOff>
    </xdr:from>
    <xdr:to>
      <xdr:col>3</xdr:col>
      <xdr:colOff>19050</xdr:colOff>
      <xdr:row>5</xdr:row>
      <xdr:rowOff>203200</xdr:rowOff>
    </xdr:to>
    <xdr:grpSp>
      <xdr:nvGrpSpPr>
        <xdr:cNvPr id="21563" name="Agrupar 16"/>
        <xdr:cNvGrpSpPr>
          <a:grpSpLocks/>
        </xdr:cNvGrpSpPr>
      </xdr:nvGrpSpPr>
      <xdr:grpSpPr bwMode="auto">
        <a:xfrm>
          <a:off x="203200" y="643218"/>
          <a:ext cx="1227791" cy="568511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9256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1565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95250</xdr:rowOff>
    </xdr:from>
    <xdr:to>
      <xdr:col>3</xdr:col>
      <xdr:colOff>152400</xdr:colOff>
      <xdr:row>2</xdr:row>
      <xdr:rowOff>139700</xdr:rowOff>
    </xdr:to>
    <xdr:pic>
      <xdr:nvPicPr>
        <xdr:cNvPr id="22584" name="Imagem 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95250"/>
          <a:ext cx="14033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203200</xdr:colOff>
      <xdr:row>3</xdr:row>
      <xdr:rowOff>38100</xdr:rowOff>
    </xdr:from>
    <xdr:to>
      <xdr:col>3</xdr:col>
      <xdr:colOff>19050</xdr:colOff>
      <xdr:row>5</xdr:row>
      <xdr:rowOff>184150</xdr:rowOff>
    </xdr:to>
    <xdr:grpSp>
      <xdr:nvGrpSpPr>
        <xdr:cNvPr id="22585" name="Agrupar 6"/>
        <xdr:cNvGrpSpPr>
          <a:grpSpLocks/>
        </xdr:cNvGrpSpPr>
      </xdr:nvGrpSpPr>
      <xdr:grpSpPr bwMode="auto">
        <a:xfrm>
          <a:off x="203200" y="647700"/>
          <a:ext cx="1136650" cy="552450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302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2591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69850</xdr:colOff>
      <xdr:row>0</xdr:row>
      <xdr:rowOff>95250</xdr:rowOff>
    </xdr:from>
    <xdr:to>
      <xdr:col>3</xdr:col>
      <xdr:colOff>152400</xdr:colOff>
      <xdr:row>2</xdr:row>
      <xdr:rowOff>139700</xdr:rowOff>
    </xdr:to>
    <xdr:pic>
      <xdr:nvPicPr>
        <xdr:cNvPr id="22586" name="Imagem 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95250"/>
          <a:ext cx="14033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203200</xdr:colOff>
      <xdr:row>3</xdr:row>
      <xdr:rowOff>38100</xdr:rowOff>
    </xdr:from>
    <xdr:to>
      <xdr:col>3</xdr:col>
      <xdr:colOff>19050</xdr:colOff>
      <xdr:row>5</xdr:row>
      <xdr:rowOff>184150</xdr:rowOff>
    </xdr:to>
    <xdr:grpSp>
      <xdr:nvGrpSpPr>
        <xdr:cNvPr id="22587" name="Agrupar 6"/>
        <xdr:cNvGrpSpPr>
          <a:grpSpLocks/>
        </xdr:cNvGrpSpPr>
      </xdr:nvGrpSpPr>
      <xdr:grpSpPr bwMode="auto">
        <a:xfrm>
          <a:off x="203200" y="647700"/>
          <a:ext cx="1136650" cy="552450"/>
          <a:chOff x="3335767" y="5244097"/>
          <a:chExt cx="1171532" cy="517530"/>
        </a:xfrm>
      </xdr:grpSpPr>
      <xdr:sp macro="" textlink="">
        <xdr:nvSpPr>
          <xdr:cNvPr id="9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302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2589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="108" zoomScaleNormal="115" workbookViewId="0">
      <selection activeCell="D15" sqref="D15"/>
    </sheetView>
  </sheetViews>
  <sheetFormatPr defaultColWidth="9.1796875" defaultRowHeight="16" x14ac:dyDescent="0.45"/>
  <cols>
    <col min="1" max="1" width="3.26953125" style="4" customWidth="1"/>
    <col min="2" max="2" width="2.26953125" style="4" customWidth="1"/>
    <col min="3" max="3" width="27.1796875" style="4" customWidth="1"/>
    <col min="4" max="4" width="10.7265625" style="4" customWidth="1"/>
    <col min="5" max="5" width="27" style="4" customWidth="1"/>
    <col min="6" max="6" width="10.7265625" style="4" bestFit="1" customWidth="1"/>
    <col min="7" max="7" width="29.81640625" style="4" customWidth="1"/>
    <col min="8" max="8" width="3.26953125" style="4" customWidth="1"/>
    <col min="9" max="9" width="2.26953125" style="4" customWidth="1"/>
    <col min="10" max="10" width="27.1796875" style="4" customWidth="1"/>
    <col min="11" max="11" width="10.7265625" style="4" customWidth="1"/>
    <col min="12" max="12" width="27" style="4" customWidth="1"/>
    <col min="13" max="13" width="10.7265625" style="4" customWidth="1"/>
    <col min="14" max="14" width="29.81640625" style="4" customWidth="1"/>
    <col min="15" max="16384" width="9.1796875" style="4"/>
  </cols>
  <sheetData>
    <row r="1" spans="1:14" x14ac:dyDescent="0.45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 x14ac:dyDescent="0.45">
      <c r="A2" s="5"/>
      <c r="G2" s="6"/>
      <c r="H2" s="5"/>
      <c r="N2" s="6"/>
    </row>
    <row r="3" spans="1:14" ht="23" x14ac:dyDescent="0.6">
      <c r="A3" s="5"/>
      <c r="E3" s="7" t="s">
        <v>16</v>
      </c>
      <c r="G3" s="6"/>
      <c r="H3" s="5"/>
      <c r="J3" s="7" t="s">
        <v>47</v>
      </c>
      <c r="L3" s="7"/>
      <c r="N3" s="6"/>
    </row>
    <row r="4" spans="1:14" x14ac:dyDescent="0.45">
      <c r="A4" s="5"/>
      <c r="G4" s="6"/>
      <c r="H4" s="5"/>
      <c r="N4" s="6"/>
    </row>
    <row r="5" spans="1:14" ht="14.5" customHeight="1" x14ac:dyDescent="0.45">
      <c r="A5" s="5"/>
      <c r="E5" s="95" t="s">
        <v>21</v>
      </c>
      <c r="F5" s="95"/>
      <c r="G5" s="96"/>
      <c r="H5" s="5"/>
      <c r="L5" s="86"/>
      <c r="M5" s="86"/>
      <c r="N5" s="87"/>
    </row>
    <row r="6" spans="1:14" x14ac:dyDescent="0.45">
      <c r="A6" s="5"/>
      <c r="E6" s="95"/>
      <c r="F6" s="95"/>
      <c r="G6" s="96"/>
      <c r="H6" s="5"/>
      <c r="L6" s="86"/>
      <c r="M6" s="86"/>
      <c r="N6" s="87"/>
    </row>
    <row r="7" spans="1:14" x14ac:dyDescent="0.45">
      <c r="A7" s="5"/>
      <c r="E7" s="95"/>
      <c r="F7" s="95"/>
      <c r="G7" s="96"/>
      <c r="H7" s="5"/>
      <c r="L7" s="86"/>
      <c r="M7" s="86"/>
      <c r="N7" s="87"/>
    </row>
    <row r="8" spans="1:14" x14ac:dyDescent="0.45">
      <c r="A8" s="5"/>
      <c r="G8" s="14"/>
      <c r="H8" s="5"/>
      <c r="L8" s="63"/>
      <c r="N8" s="14"/>
    </row>
    <row r="9" spans="1:14" ht="36" customHeight="1" x14ac:dyDescent="0.45">
      <c r="A9" s="5"/>
      <c r="C9" s="64">
        <v>208151118.41</v>
      </c>
      <c r="D9" s="22"/>
      <c r="E9" s="75">
        <v>8.5999999999999993E-2</v>
      </c>
      <c r="F9" s="75"/>
      <c r="G9" s="94">
        <v>4633</v>
      </c>
      <c r="H9" s="5"/>
      <c r="J9" s="66">
        <f>((1+DRE!O21/DRE!O23)^12-1)</f>
        <v>0.10934729971775381</v>
      </c>
      <c r="K9" s="22"/>
      <c r="L9" s="66">
        <f>((1+AVERAGE(DRE!G21:O21)/DRE!O23)^12-1)</f>
        <v>0.10181222035296988</v>
      </c>
      <c r="M9" s="56"/>
      <c r="N9" s="57">
        <f>N12/(1+22.5%)</f>
        <v>1.0739623985808311</v>
      </c>
    </row>
    <row r="10" spans="1:14" x14ac:dyDescent="0.45">
      <c r="A10" s="5"/>
      <c r="C10" s="9" t="s">
        <v>17</v>
      </c>
      <c r="D10" s="10"/>
      <c r="E10" s="9" t="s">
        <v>46</v>
      </c>
      <c r="F10" s="10"/>
      <c r="G10" s="18" t="s">
        <v>18</v>
      </c>
      <c r="H10" s="5"/>
      <c r="J10" s="9" t="s">
        <v>45</v>
      </c>
      <c r="K10" s="10"/>
      <c r="L10" s="9" t="s">
        <v>101</v>
      </c>
      <c r="M10" s="10"/>
      <c r="N10" s="18" t="s">
        <v>51</v>
      </c>
    </row>
    <row r="11" spans="1:14" x14ac:dyDescent="0.45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 x14ac:dyDescent="0.45">
      <c r="A12" s="5"/>
      <c r="C12" s="15">
        <f>C9/21021208</f>
        <v>9.901957985002575</v>
      </c>
      <c r="D12" s="10"/>
      <c r="E12" s="16" t="s">
        <v>80</v>
      </c>
      <c r="F12" s="10"/>
      <c r="G12" s="71">
        <v>0.94930000000000003</v>
      </c>
      <c r="H12" s="5"/>
      <c r="J12" s="55">
        <v>7.4655432406596223E-2</v>
      </c>
      <c r="K12" s="10"/>
      <c r="L12" s="15">
        <f>AVERAGE(DRE!G21:O21)</f>
        <v>8.0328844332405211E-2</v>
      </c>
      <c r="M12" s="10"/>
      <c r="N12" s="58">
        <v>1.3156039382615181</v>
      </c>
    </row>
    <row r="13" spans="1:14" x14ac:dyDescent="0.45">
      <c r="A13" s="5"/>
      <c r="C13" s="9" t="s">
        <v>49</v>
      </c>
      <c r="D13" s="10"/>
      <c r="E13" s="9" t="s">
        <v>24</v>
      </c>
      <c r="F13" s="10"/>
      <c r="G13" s="4" t="s">
        <v>82</v>
      </c>
      <c r="H13" s="5"/>
      <c r="J13" s="9" t="s">
        <v>48</v>
      </c>
      <c r="K13" s="10"/>
      <c r="L13" s="9" t="s">
        <v>81</v>
      </c>
      <c r="M13" s="10"/>
      <c r="N13" s="18" t="s">
        <v>52</v>
      </c>
    </row>
    <row r="14" spans="1:14" x14ac:dyDescent="0.45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4" x14ac:dyDescent="0.45">
      <c r="A15" s="5"/>
      <c r="C15" s="64">
        <v>208151118.41</v>
      </c>
      <c r="D15" s="10"/>
      <c r="E15" s="21" t="s">
        <v>26</v>
      </c>
      <c r="F15" s="10"/>
      <c r="G15" s="20">
        <v>45295</v>
      </c>
      <c r="H15" s="5"/>
      <c r="J15" s="71">
        <v>0.05</v>
      </c>
      <c r="K15" s="70"/>
      <c r="L15" s="82">
        <v>0.1008996809316407</v>
      </c>
      <c r="M15" s="82"/>
      <c r="N15" s="58">
        <v>0.21895836904463312</v>
      </c>
    </row>
    <row r="16" spans="1:14" x14ac:dyDescent="0.45">
      <c r="A16" s="5"/>
      <c r="C16" s="9" t="s">
        <v>22</v>
      </c>
      <c r="D16" s="10"/>
      <c r="E16" s="9" t="s">
        <v>25</v>
      </c>
      <c r="F16" s="10"/>
      <c r="G16" s="18" t="s">
        <v>19</v>
      </c>
      <c r="H16" s="5"/>
      <c r="J16" s="9" t="s">
        <v>53</v>
      </c>
      <c r="K16" s="10"/>
      <c r="L16" s="9" t="s">
        <v>55</v>
      </c>
      <c r="M16" s="10"/>
      <c r="N16" s="18" t="s">
        <v>54</v>
      </c>
    </row>
    <row r="17" spans="1:14" x14ac:dyDescent="0.45">
      <c r="A17" s="5"/>
      <c r="C17" s="9"/>
      <c r="D17" s="10"/>
      <c r="E17" s="9"/>
      <c r="F17" s="10"/>
      <c r="G17" s="18"/>
      <c r="H17" s="5"/>
      <c r="J17" s="9"/>
      <c r="K17" s="10"/>
      <c r="L17" s="9"/>
      <c r="M17" s="10"/>
      <c r="N17" s="18"/>
    </row>
    <row r="18" spans="1:14" ht="23" x14ac:dyDescent="0.45">
      <c r="A18" s="5"/>
      <c r="C18" s="15">
        <f>C15/21021208</f>
        <v>9.901957985002575</v>
      </c>
      <c r="D18" s="10"/>
      <c r="E18" s="16"/>
      <c r="F18" s="10"/>
      <c r="G18" s="17"/>
      <c r="H18" s="5"/>
      <c r="J18" s="71">
        <v>9.2999999999999999E-2</v>
      </c>
      <c r="K18" s="10"/>
      <c r="L18" s="16"/>
      <c r="M18" s="10"/>
      <c r="N18" s="17"/>
    </row>
    <row r="19" spans="1:14" x14ac:dyDescent="0.45">
      <c r="A19" s="5"/>
      <c r="C19" s="9" t="s">
        <v>50</v>
      </c>
      <c r="D19" s="10"/>
      <c r="E19" s="9" t="s">
        <v>23</v>
      </c>
      <c r="F19" s="23">
        <v>45565</v>
      </c>
      <c r="G19" s="18"/>
      <c r="H19" s="5"/>
      <c r="J19" s="9" t="s">
        <v>102</v>
      </c>
      <c r="K19" s="10"/>
      <c r="L19" s="9"/>
      <c r="M19" s="23"/>
      <c r="N19" s="18"/>
    </row>
    <row r="20" spans="1:14" x14ac:dyDescent="0.45">
      <c r="A20" s="5"/>
      <c r="G20" s="14"/>
      <c r="H20" s="5"/>
      <c r="N20" s="14"/>
    </row>
    <row r="21" spans="1:14" x14ac:dyDescent="0.45">
      <c r="A21" s="5"/>
      <c r="G21" s="6"/>
      <c r="H21" s="5"/>
      <c r="N21" s="6"/>
    </row>
    <row r="22" spans="1:14" x14ac:dyDescent="0.45">
      <c r="A22" s="5"/>
      <c r="G22" s="6"/>
      <c r="H22" s="5"/>
      <c r="N22" s="6"/>
    </row>
    <row r="23" spans="1:14" x14ac:dyDescent="0.45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</sheetData>
  <mergeCells count="1">
    <mergeCell ref="E5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B30"/>
  <sheetViews>
    <sheetView showGridLines="0" topLeftCell="P1" zoomScale="85" zoomScaleNormal="85" workbookViewId="0">
      <selection activeCell="W18" sqref="W18"/>
    </sheetView>
  </sheetViews>
  <sheetFormatPr defaultColWidth="9.1796875" defaultRowHeight="16" x14ac:dyDescent="0.45"/>
  <cols>
    <col min="1" max="3" width="6.7265625" style="4" customWidth="1"/>
    <col min="4" max="4" width="11.54296875" style="67" bestFit="1" customWidth="1"/>
    <col min="5" max="5" width="12" style="4" customWidth="1"/>
    <col min="6" max="6" width="23.54296875" style="4" bestFit="1" customWidth="1"/>
    <col min="7" max="7" width="17.453125" style="4" bestFit="1" customWidth="1"/>
    <col min="8" max="8" width="11.26953125" style="4" bestFit="1" customWidth="1"/>
    <col min="9" max="9" width="16.7265625" style="4" bestFit="1" customWidth="1"/>
    <col min="10" max="10" width="13.81640625" style="4" bestFit="1" customWidth="1"/>
    <col min="11" max="11" width="14.7265625" style="4" bestFit="1" customWidth="1"/>
    <col min="12" max="12" width="15.81640625" style="4" bestFit="1" customWidth="1"/>
    <col min="13" max="13" width="14.81640625" style="31" customWidth="1"/>
    <col min="14" max="14" width="14.453125" style="31" bestFit="1" customWidth="1"/>
    <col min="15" max="15" width="15.54296875" style="4" bestFit="1" customWidth="1"/>
    <col min="16" max="16" width="13.54296875" style="4" bestFit="1" customWidth="1"/>
    <col min="17" max="17" width="11.81640625" style="4" bestFit="1" customWidth="1"/>
    <col min="18" max="18" width="9.26953125" style="63" bestFit="1" customWidth="1"/>
    <col min="19" max="19" width="21.54296875" style="4" bestFit="1" customWidth="1"/>
    <col min="20" max="20" width="20" style="4" bestFit="1" customWidth="1"/>
    <col min="21" max="21" width="22.26953125" style="4" bestFit="1" customWidth="1"/>
    <col min="22" max="22" width="10" style="4" bestFit="1" customWidth="1"/>
    <col min="23" max="23" width="24.7265625" style="4" bestFit="1" customWidth="1"/>
    <col min="24" max="24" width="18.54296875" style="4" bestFit="1" customWidth="1"/>
    <col min="25" max="25" width="16.81640625" style="4" bestFit="1" customWidth="1"/>
    <col min="26" max="26" width="30.81640625" style="4" bestFit="1" customWidth="1"/>
    <col min="27" max="27" width="19.81640625" style="4" bestFit="1" customWidth="1"/>
    <col min="28" max="28" width="11.453125" style="4" bestFit="1" customWidth="1"/>
    <col min="29" max="16384" width="9.1796875" style="4"/>
  </cols>
  <sheetData>
    <row r="1" spans="4:28" x14ac:dyDescent="0.45">
      <c r="S1" s="63"/>
      <c r="W1" s="47"/>
      <c r="X1" s="62"/>
    </row>
    <row r="2" spans="4:28" x14ac:dyDescent="0.45">
      <c r="S2" s="63"/>
      <c r="W2" s="47"/>
      <c r="X2" s="62"/>
    </row>
    <row r="3" spans="4:28" x14ac:dyDescent="0.45">
      <c r="S3" s="63"/>
      <c r="W3" s="47"/>
    </row>
    <row r="5" spans="4:28" x14ac:dyDescent="0.45">
      <c r="O5" s="88"/>
      <c r="P5" s="89"/>
    </row>
    <row r="6" spans="4:28" ht="16.5" thickBot="1" x14ac:dyDescent="0.5"/>
    <row r="7" spans="4:28" x14ac:dyDescent="0.45">
      <c r="E7" s="35" t="s">
        <v>1</v>
      </c>
      <c r="F7" s="36" t="s">
        <v>64</v>
      </c>
      <c r="G7" s="36" t="s">
        <v>65</v>
      </c>
      <c r="H7" s="36" t="s">
        <v>67</v>
      </c>
      <c r="I7" s="36" t="s">
        <v>68</v>
      </c>
      <c r="J7" s="36" t="s">
        <v>69</v>
      </c>
      <c r="K7" s="36" t="s">
        <v>100</v>
      </c>
      <c r="L7" s="36" t="s">
        <v>70</v>
      </c>
      <c r="M7" s="36" t="s">
        <v>71</v>
      </c>
      <c r="N7" s="36" t="s">
        <v>72</v>
      </c>
      <c r="O7" s="36" t="s">
        <v>73</v>
      </c>
      <c r="P7" s="36" t="s">
        <v>0</v>
      </c>
      <c r="Q7" s="36" t="s">
        <v>1</v>
      </c>
      <c r="R7" s="72" t="s">
        <v>20</v>
      </c>
      <c r="S7" s="36" t="s">
        <v>28</v>
      </c>
      <c r="T7" s="36" t="s">
        <v>29</v>
      </c>
      <c r="U7" s="36" t="s">
        <v>27</v>
      </c>
      <c r="V7" s="36" t="s">
        <v>56</v>
      </c>
      <c r="W7" s="36" t="s">
        <v>58</v>
      </c>
      <c r="X7" s="36" t="s">
        <v>74</v>
      </c>
      <c r="Y7" s="36" t="s">
        <v>75</v>
      </c>
      <c r="Z7" s="36" t="s">
        <v>120</v>
      </c>
      <c r="AA7" s="36" t="s">
        <v>138</v>
      </c>
    </row>
    <row r="8" spans="4:28" x14ac:dyDescent="0.45">
      <c r="D8" s="78"/>
      <c r="E8" s="37" t="s">
        <v>78</v>
      </c>
      <c r="F8" s="37" t="s">
        <v>83</v>
      </c>
      <c r="G8" s="25" t="s">
        <v>85</v>
      </c>
      <c r="H8" s="24" t="s">
        <v>3</v>
      </c>
      <c r="I8" s="30">
        <v>9.5000000000000001E-2</v>
      </c>
      <c r="J8" s="30">
        <v>9.3760048177419453E-2</v>
      </c>
      <c r="K8" s="31">
        <v>24250</v>
      </c>
      <c r="L8" s="31">
        <v>24250000</v>
      </c>
      <c r="M8" s="31">
        <v>21320661.095207501</v>
      </c>
      <c r="N8" s="31">
        <v>21488536.536499999</v>
      </c>
      <c r="O8" s="33">
        <f t="shared" ref="O8:O24" si="0">N8/SUM($N:$N)</f>
        <v>0.10333388905020761</v>
      </c>
      <c r="P8" s="24" t="s">
        <v>2</v>
      </c>
      <c r="Q8" s="29" t="s">
        <v>98</v>
      </c>
      <c r="R8" s="30">
        <v>0.34154929577464788</v>
      </c>
      <c r="S8" s="29" t="s">
        <v>4</v>
      </c>
      <c r="T8" s="60">
        <v>4</v>
      </c>
      <c r="U8" s="32">
        <v>49232</v>
      </c>
      <c r="V8" s="37" t="s">
        <v>15</v>
      </c>
      <c r="W8" s="65">
        <v>0.34677400232768196</v>
      </c>
      <c r="X8" s="25" t="s">
        <v>66</v>
      </c>
      <c r="Y8" s="25" t="s">
        <v>61</v>
      </c>
      <c r="Z8" s="25" t="s">
        <v>15</v>
      </c>
      <c r="AA8" s="25" t="s">
        <v>15</v>
      </c>
    </row>
    <row r="9" spans="4:28" x14ac:dyDescent="0.45">
      <c r="D9" s="78"/>
      <c r="E9" s="37" t="s">
        <v>78</v>
      </c>
      <c r="F9" s="37" t="s">
        <v>91</v>
      </c>
      <c r="G9" s="25" t="s">
        <v>79</v>
      </c>
      <c r="H9" s="24" t="s">
        <v>3</v>
      </c>
      <c r="I9" s="30">
        <v>0.1007</v>
      </c>
      <c r="J9" s="30">
        <v>0.10420831087032112</v>
      </c>
      <c r="K9" s="31">
        <v>21692020</v>
      </c>
      <c r="L9" s="31">
        <v>21999981.60794</v>
      </c>
      <c r="M9" s="31">
        <v>21756269.160197601</v>
      </c>
      <c r="N9" s="31">
        <v>21043819.058359999</v>
      </c>
      <c r="O9" s="33">
        <f t="shared" si="0"/>
        <v>0.10119533547924899</v>
      </c>
      <c r="P9" s="29" t="s">
        <v>2</v>
      </c>
      <c r="Q9" s="29" t="s">
        <v>5</v>
      </c>
      <c r="R9" s="30">
        <v>0.64530683154788249</v>
      </c>
      <c r="S9" s="29" t="s">
        <v>96</v>
      </c>
      <c r="T9" s="60">
        <v>5.1100000000000003</v>
      </c>
      <c r="U9" s="32">
        <v>49202</v>
      </c>
      <c r="V9" s="37" t="s">
        <v>30</v>
      </c>
      <c r="W9" s="65">
        <v>0.1875</v>
      </c>
      <c r="X9" s="25" t="s">
        <v>66</v>
      </c>
      <c r="Y9" s="25" t="s">
        <v>60</v>
      </c>
      <c r="Z9" s="25" t="s">
        <v>15</v>
      </c>
      <c r="AA9" s="25" t="s">
        <v>139</v>
      </c>
      <c r="AB9" s="62"/>
    </row>
    <row r="10" spans="4:28" x14ac:dyDescent="0.45">
      <c r="D10" s="78"/>
      <c r="E10" s="37" t="s">
        <v>78</v>
      </c>
      <c r="F10" s="37" t="s">
        <v>90</v>
      </c>
      <c r="G10" s="25" t="s">
        <v>12</v>
      </c>
      <c r="H10" s="24" t="s">
        <v>3</v>
      </c>
      <c r="I10" s="30">
        <v>0.109</v>
      </c>
      <c r="J10" s="30">
        <v>0.10702607113729234</v>
      </c>
      <c r="K10" s="31">
        <v>20455</v>
      </c>
      <c r="L10" s="31">
        <v>20459483.270013601</v>
      </c>
      <c r="M10" s="31">
        <v>20484413.451345</v>
      </c>
      <c r="N10" s="31">
        <v>20809821.839299999</v>
      </c>
      <c r="O10" s="33">
        <f t="shared" si="0"/>
        <v>0.10007009167163408</v>
      </c>
      <c r="P10" s="29" t="s">
        <v>2</v>
      </c>
      <c r="Q10" s="29" t="s">
        <v>97</v>
      </c>
      <c r="R10" s="30">
        <v>0.33</v>
      </c>
      <c r="S10" s="29" t="s">
        <v>4</v>
      </c>
      <c r="T10" s="60">
        <v>3</v>
      </c>
      <c r="U10" s="32">
        <v>45962</v>
      </c>
      <c r="V10" s="37" t="s">
        <v>57</v>
      </c>
      <c r="W10" s="65" t="s">
        <v>15</v>
      </c>
      <c r="X10" s="25" t="s">
        <v>66</v>
      </c>
      <c r="Y10" s="25" t="s">
        <v>61</v>
      </c>
      <c r="Z10" s="25" t="s">
        <v>126</v>
      </c>
      <c r="AA10" s="25" t="s">
        <v>15</v>
      </c>
    </row>
    <row r="11" spans="4:28" x14ac:dyDescent="0.45">
      <c r="D11" s="78"/>
      <c r="E11" s="37" t="s">
        <v>78</v>
      </c>
      <c r="F11" s="37" t="s">
        <v>103</v>
      </c>
      <c r="G11" s="25" t="s">
        <v>104</v>
      </c>
      <c r="H11" s="24" t="s">
        <v>3</v>
      </c>
      <c r="I11" s="30">
        <v>9.11E-2</v>
      </c>
      <c r="J11" s="30">
        <v>9.4320966594717559E-2</v>
      </c>
      <c r="K11" s="31">
        <v>20500</v>
      </c>
      <c r="L11" s="31">
        <v>20500000</v>
      </c>
      <c r="M11" s="31">
        <v>20669954.866034999</v>
      </c>
      <c r="N11" s="31">
        <v>20501929.460000001</v>
      </c>
      <c r="O11" s="33">
        <f t="shared" si="0"/>
        <v>9.8589501455173839E-2</v>
      </c>
      <c r="P11" s="76" t="s">
        <v>6</v>
      </c>
      <c r="Q11" s="29" t="s">
        <v>6</v>
      </c>
      <c r="R11" s="30">
        <v>0.61</v>
      </c>
      <c r="S11" s="29" t="s">
        <v>4</v>
      </c>
      <c r="T11" s="60">
        <v>7.63</v>
      </c>
      <c r="U11" s="32">
        <v>14305</v>
      </c>
      <c r="V11" s="39" t="s">
        <v>15</v>
      </c>
      <c r="W11" s="65">
        <v>1.9</v>
      </c>
      <c r="X11" s="25" t="s">
        <v>105</v>
      </c>
      <c r="Y11" s="25" t="s">
        <v>60</v>
      </c>
      <c r="Z11" s="25" t="s">
        <v>15</v>
      </c>
      <c r="AA11" s="25" t="s">
        <v>15</v>
      </c>
    </row>
    <row r="12" spans="4:28" x14ac:dyDescent="0.45">
      <c r="D12" s="78"/>
      <c r="E12" s="37" t="s">
        <v>78</v>
      </c>
      <c r="F12" s="37" t="s">
        <v>99</v>
      </c>
      <c r="G12" s="25" t="s">
        <v>86</v>
      </c>
      <c r="H12" s="24" t="s">
        <v>87</v>
      </c>
      <c r="I12" s="30">
        <v>9.2999999999999999E-2</v>
      </c>
      <c r="J12" s="30">
        <v>9.3687965824775343E-2</v>
      </c>
      <c r="K12" s="31">
        <v>21236</v>
      </c>
      <c r="L12" s="31">
        <v>21464140.089989081</v>
      </c>
      <c r="M12" s="31">
        <v>18795767.681695841</v>
      </c>
      <c r="N12" s="31">
        <v>18681681.318428002</v>
      </c>
      <c r="O12" s="33">
        <f t="shared" si="0"/>
        <v>8.9836307900761428E-2</v>
      </c>
      <c r="P12" s="29" t="s">
        <v>5</v>
      </c>
      <c r="Q12" s="29" t="s">
        <v>5</v>
      </c>
      <c r="R12" s="30">
        <v>0.40373238038514991</v>
      </c>
      <c r="S12" s="29" t="s">
        <v>95</v>
      </c>
      <c r="T12" s="60">
        <v>4.0999999999999996</v>
      </c>
      <c r="U12" s="32">
        <v>49232</v>
      </c>
      <c r="V12" s="37" t="s">
        <v>30</v>
      </c>
      <c r="W12" s="65">
        <v>0.31</v>
      </c>
      <c r="X12" s="25" t="s">
        <v>88</v>
      </c>
      <c r="Y12" s="25" t="s">
        <v>60</v>
      </c>
      <c r="Z12" s="25" t="s">
        <v>125</v>
      </c>
      <c r="AA12" s="25" t="s">
        <v>140</v>
      </c>
      <c r="AB12" s="62"/>
    </row>
    <row r="13" spans="4:28" x14ac:dyDescent="0.45">
      <c r="D13" s="78"/>
      <c r="E13" s="37" t="s">
        <v>78</v>
      </c>
      <c r="F13" s="37" t="s">
        <v>89</v>
      </c>
      <c r="G13" s="25" t="s">
        <v>84</v>
      </c>
      <c r="H13" s="24" t="s">
        <v>3</v>
      </c>
      <c r="I13" s="30">
        <v>9.7000000000000003E-2</v>
      </c>
      <c r="J13" s="30">
        <v>9.6203291888393716E-2</v>
      </c>
      <c r="K13" s="31">
        <v>20400</v>
      </c>
      <c r="L13" s="31">
        <v>20336749.859976001</v>
      </c>
      <c r="M13" s="31">
        <v>18333522.94404</v>
      </c>
      <c r="N13" s="31">
        <v>18460525.488000002</v>
      </c>
      <c r="O13" s="33">
        <f t="shared" si="0"/>
        <v>8.8772815651978629E-2</v>
      </c>
      <c r="P13" s="24" t="s">
        <v>2</v>
      </c>
      <c r="Q13" s="29" t="s">
        <v>5</v>
      </c>
      <c r="R13" s="30">
        <v>0.32</v>
      </c>
      <c r="S13" s="29" t="s">
        <v>94</v>
      </c>
      <c r="T13" s="60">
        <v>4.3</v>
      </c>
      <c r="U13" s="32">
        <v>48601</v>
      </c>
      <c r="V13" s="37" t="s">
        <v>15</v>
      </c>
      <c r="W13" s="65">
        <v>0.33</v>
      </c>
      <c r="X13" s="25" t="s">
        <v>66</v>
      </c>
      <c r="Y13" s="25" t="s">
        <v>63</v>
      </c>
      <c r="Z13" s="25" t="s">
        <v>124</v>
      </c>
      <c r="AA13" s="25" t="s">
        <v>139</v>
      </c>
      <c r="AB13" s="62"/>
    </row>
    <row r="14" spans="4:28" x14ac:dyDescent="0.45">
      <c r="D14" s="78"/>
      <c r="E14" s="37" t="s">
        <v>78</v>
      </c>
      <c r="F14" s="37" t="s">
        <v>106</v>
      </c>
      <c r="G14" s="25" t="s">
        <v>108</v>
      </c>
      <c r="H14" s="24" t="s">
        <v>3</v>
      </c>
      <c r="I14" s="30">
        <v>9.8000000000000004E-2</v>
      </c>
      <c r="J14" s="30">
        <v>9.8072425032996957E-2</v>
      </c>
      <c r="K14" s="31">
        <v>17307</v>
      </c>
      <c r="L14" s="31">
        <v>14500609.970000001</v>
      </c>
      <c r="M14" s="31">
        <v>13936352.62001922</v>
      </c>
      <c r="N14" s="31">
        <v>13886531.297297999</v>
      </c>
      <c r="O14" s="33">
        <f t="shared" si="0"/>
        <v>6.6777431861395065E-2</v>
      </c>
      <c r="P14" s="76" t="s">
        <v>6</v>
      </c>
      <c r="Q14" s="29" t="s">
        <v>114</v>
      </c>
      <c r="R14" s="30">
        <v>0.5</v>
      </c>
      <c r="S14" s="29" t="s">
        <v>4</v>
      </c>
      <c r="T14" s="60">
        <v>3</v>
      </c>
      <c r="U14" s="32">
        <v>47352</v>
      </c>
      <c r="V14" s="39" t="s">
        <v>57</v>
      </c>
      <c r="W14" s="65" t="s">
        <v>15</v>
      </c>
      <c r="X14" s="25" t="s">
        <v>66</v>
      </c>
      <c r="Y14" s="25" t="s">
        <v>61</v>
      </c>
      <c r="Z14" s="25" t="s">
        <v>15</v>
      </c>
      <c r="AA14" s="25" t="s">
        <v>15</v>
      </c>
    </row>
    <row r="15" spans="4:28" x14ac:dyDescent="0.45">
      <c r="D15" s="78"/>
      <c r="E15" s="37" t="s">
        <v>78</v>
      </c>
      <c r="F15" s="37" t="s">
        <v>118</v>
      </c>
      <c r="G15" s="25" t="s">
        <v>119</v>
      </c>
      <c r="H15" s="24" t="s">
        <v>3</v>
      </c>
      <c r="I15" s="30">
        <v>0.11</v>
      </c>
      <c r="J15" s="30">
        <v>0.11146491340469078</v>
      </c>
      <c r="K15" s="31">
        <v>10629</v>
      </c>
      <c r="L15" s="31">
        <v>10641854.130000001</v>
      </c>
      <c r="M15" s="31">
        <v>10671231.285122309</v>
      </c>
      <c r="N15" s="31">
        <v>10509733.925478</v>
      </c>
      <c r="O15" s="33">
        <f t="shared" si="0"/>
        <v>5.053911780161803E-2</v>
      </c>
      <c r="P15" s="29" t="s">
        <v>2</v>
      </c>
      <c r="Q15" s="29" t="s">
        <v>97</v>
      </c>
      <c r="R15" s="30">
        <v>0.38</v>
      </c>
      <c r="S15" s="29" t="s">
        <v>4</v>
      </c>
      <c r="T15" s="60">
        <v>3</v>
      </c>
      <c r="U15" s="32">
        <v>46646</v>
      </c>
      <c r="V15" s="37" t="s">
        <v>57</v>
      </c>
      <c r="W15" s="65" t="s">
        <v>15</v>
      </c>
      <c r="X15" s="25" t="s">
        <v>66</v>
      </c>
      <c r="Y15" s="25" t="s">
        <v>61</v>
      </c>
      <c r="Z15" s="25" t="s">
        <v>127</v>
      </c>
      <c r="AA15" s="25" t="s">
        <v>15</v>
      </c>
    </row>
    <row r="16" spans="4:28" x14ac:dyDescent="0.45">
      <c r="D16" s="78"/>
      <c r="E16" s="37" t="s">
        <v>78</v>
      </c>
      <c r="F16" s="37" t="s">
        <v>9</v>
      </c>
      <c r="G16" s="25" t="s">
        <v>13</v>
      </c>
      <c r="H16" s="24" t="s">
        <v>3</v>
      </c>
      <c r="I16" s="30">
        <v>0.11</v>
      </c>
      <c r="J16" s="30">
        <v>0.10179279327814683</v>
      </c>
      <c r="K16" s="31">
        <v>7096</v>
      </c>
      <c r="L16" s="31">
        <v>6954577.7123256791</v>
      </c>
      <c r="M16" s="31">
        <v>7010251.7325576805</v>
      </c>
      <c r="N16" s="31">
        <v>7533805.3677519998</v>
      </c>
      <c r="O16" s="33">
        <f t="shared" si="0"/>
        <v>3.6228498235550077E-2</v>
      </c>
      <c r="P16" s="29" t="s">
        <v>6</v>
      </c>
      <c r="Q16" s="29" t="s">
        <v>97</v>
      </c>
      <c r="R16" s="30">
        <v>0.77011494252873569</v>
      </c>
      <c r="S16" s="29" t="s">
        <v>4</v>
      </c>
      <c r="T16" s="60">
        <v>3.1</v>
      </c>
      <c r="U16" s="32">
        <v>48871</v>
      </c>
      <c r="V16" s="37" t="s">
        <v>15</v>
      </c>
      <c r="W16" s="65" t="s">
        <v>15</v>
      </c>
      <c r="X16" s="25" t="s">
        <v>66</v>
      </c>
      <c r="Y16" s="25" t="s">
        <v>60</v>
      </c>
      <c r="Z16" s="25" t="s">
        <v>128</v>
      </c>
      <c r="AA16" s="25" t="s">
        <v>15</v>
      </c>
    </row>
    <row r="17" spans="4:27" x14ac:dyDescent="0.45">
      <c r="D17" s="78"/>
      <c r="E17" s="37" t="s">
        <v>78</v>
      </c>
      <c r="F17" s="37" t="s">
        <v>121</v>
      </c>
      <c r="G17" s="25" t="s">
        <v>122</v>
      </c>
      <c r="H17" s="24" t="s">
        <v>3</v>
      </c>
      <c r="I17" s="30">
        <v>9.8000000000000004E-2</v>
      </c>
      <c r="J17" s="30">
        <v>9.8000000000000753E-2</v>
      </c>
      <c r="K17" s="31">
        <v>7435</v>
      </c>
      <c r="L17" s="31">
        <v>7435000</v>
      </c>
      <c r="M17" s="31">
        <v>7444660.4441256495</v>
      </c>
      <c r="N17" s="31">
        <v>7397350.4759950005</v>
      </c>
      <c r="O17" s="33">
        <f t="shared" si="0"/>
        <v>3.5572315129677554E-2</v>
      </c>
      <c r="P17" s="29" t="s">
        <v>2</v>
      </c>
      <c r="Q17" s="29" t="s">
        <v>97</v>
      </c>
      <c r="R17" s="30">
        <v>0.53</v>
      </c>
      <c r="S17" s="29" t="s">
        <v>4</v>
      </c>
      <c r="T17" s="60">
        <v>4</v>
      </c>
      <c r="U17" s="32">
        <v>46593</v>
      </c>
      <c r="V17" s="30" t="s">
        <v>15</v>
      </c>
      <c r="W17" s="30" t="s">
        <v>15</v>
      </c>
      <c r="X17" s="25" t="s">
        <v>66</v>
      </c>
      <c r="Y17" s="25" t="s">
        <v>61</v>
      </c>
      <c r="Z17" s="25" t="s">
        <v>130</v>
      </c>
      <c r="AA17" s="25" t="s">
        <v>15</v>
      </c>
    </row>
    <row r="18" spans="4:27" x14ac:dyDescent="0.45">
      <c r="D18" s="78"/>
      <c r="E18" s="37" t="s">
        <v>78</v>
      </c>
      <c r="F18" s="37" t="s">
        <v>77</v>
      </c>
      <c r="G18" s="25" t="s">
        <v>76</v>
      </c>
      <c r="H18" s="24" t="s">
        <v>3</v>
      </c>
      <c r="I18" s="25">
        <v>0.12</v>
      </c>
      <c r="J18" s="30">
        <v>0.11755560274781929</v>
      </c>
      <c r="K18" s="31">
        <v>8609</v>
      </c>
      <c r="L18" s="26">
        <v>8636237.58000114</v>
      </c>
      <c r="M18" s="31">
        <v>6596986.1727492204</v>
      </c>
      <c r="N18" s="31">
        <v>6727555.7026439998</v>
      </c>
      <c r="O18" s="33">
        <f t="shared" si="0"/>
        <v>3.2351411803929975E-2</v>
      </c>
      <c r="P18" s="24" t="s">
        <v>6</v>
      </c>
      <c r="Q18" s="24" t="s">
        <v>97</v>
      </c>
      <c r="R18" s="25">
        <v>0.75</v>
      </c>
      <c r="S18" s="24" t="s">
        <v>4</v>
      </c>
      <c r="T18" s="59">
        <v>2.1833333333333331</v>
      </c>
      <c r="U18" s="28">
        <v>46997</v>
      </c>
      <c r="V18" s="37" t="s">
        <v>30</v>
      </c>
      <c r="W18" s="65">
        <v>0.25</v>
      </c>
      <c r="X18" s="25" t="s">
        <v>66</v>
      </c>
      <c r="Y18" s="25" t="s">
        <v>61</v>
      </c>
      <c r="Z18" s="25" t="s">
        <v>132</v>
      </c>
      <c r="AA18" s="25" t="s">
        <v>15</v>
      </c>
    </row>
    <row r="19" spans="4:27" x14ac:dyDescent="0.45">
      <c r="D19" s="78"/>
      <c r="E19" s="37" t="s">
        <v>78</v>
      </c>
      <c r="F19" s="37" t="s">
        <v>112</v>
      </c>
      <c r="G19" s="25" t="s">
        <v>110</v>
      </c>
      <c r="H19" s="24" t="s">
        <v>7</v>
      </c>
      <c r="I19" s="30">
        <v>0.16</v>
      </c>
      <c r="J19" s="30">
        <v>0.16014020277845131</v>
      </c>
      <c r="K19" s="31">
        <v>6000</v>
      </c>
      <c r="L19" s="31">
        <v>6000000</v>
      </c>
      <c r="M19" s="31">
        <v>6375451.5987</v>
      </c>
      <c r="N19" s="31">
        <v>6375451.4880000008</v>
      </c>
      <c r="O19" s="33">
        <f t="shared" si="0"/>
        <v>3.0658216095216545E-2</v>
      </c>
      <c r="P19" s="76" t="s">
        <v>2</v>
      </c>
      <c r="Q19" s="29" t="s">
        <v>115</v>
      </c>
      <c r="R19" s="77" t="s">
        <v>15</v>
      </c>
      <c r="S19" s="29" t="s">
        <v>93</v>
      </c>
      <c r="T19" s="30" t="s">
        <v>15</v>
      </c>
      <c r="U19" s="32">
        <v>47224</v>
      </c>
      <c r="V19" s="30" t="s">
        <v>15</v>
      </c>
      <c r="W19" s="30" t="s">
        <v>15</v>
      </c>
      <c r="X19" s="25" t="s">
        <v>66</v>
      </c>
      <c r="Y19" s="25" t="s">
        <v>116</v>
      </c>
      <c r="Z19" s="25" t="s">
        <v>15</v>
      </c>
      <c r="AA19" s="25" t="s">
        <v>15</v>
      </c>
    </row>
    <row r="20" spans="4:27" x14ac:dyDescent="0.45">
      <c r="D20" s="78"/>
      <c r="E20" s="37" t="s">
        <v>78</v>
      </c>
      <c r="F20" s="37" t="s">
        <v>143</v>
      </c>
      <c r="G20" s="25" t="s">
        <v>142</v>
      </c>
      <c r="H20" s="24" t="s">
        <v>3</v>
      </c>
      <c r="I20" s="30">
        <v>9.5699999999999993E-2</v>
      </c>
      <c r="J20" s="30">
        <v>9.5699999999999993E-2</v>
      </c>
      <c r="K20" s="31">
        <v>5201550</v>
      </c>
      <c r="L20" s="31">
        <v>5000000.3405999998</v>
      </c>
      <c r="M20" s="31">
        <v>5203137.0449205004</v>
      </c>
      <c r="N20" s="31">
        <v>5000000.3405999998</v>
      </c>
      <c r="O20" s="33">
        <f t="shared" si="0"/>
        <v>2.4043958487771196E-2</v>
      </c>
      <c r="P20" s="76" t="s">
        <v>2</v>
      </c>
      <c r="Q20" s="29" t="s">
        <v>5</v>
      </c>
      <c r="R20" s="30">
        <v>0.63270000000000004</v>
      </c>
      <c r="S20" s="29" t="s">
        <v>96</v>
      </c>
      <c r="T20" s="90">
        <v>3.5</v>
      </c>
      <c r="U20" s="91">
        <v>12128</v>
      </c>
      <c r="V20" s="30" t="s">
        <v>30</v>
      </c>
      <c r="W20" s="92">
        <v>0.1825</v>
      </c>
      <c r="X20" s="25" t="s">
        <v>105</v>
      </c>
      <c r="Y20" s="25" t="s">
        <v>60</v>
      </c>
      <c r="Z20" s="25" t="s">
        <v>15</v>
      </c>
      <c r="AA20" s="25" t="s">
        <v>139</v>
      </c>
    </row>
    <row r="21" spans="4:27" x14ac:dyDescent="0.45">
      <c r="D21" s="78"/>
      <c r="E21" s="37" t="s">
        <v>78</v>
      </c>
      <c r="F21" s="37" t="s">
        <v>113</v>
      </c>
      <c r="G21" s="25" t="s">
        <v>111</v>
      </c>
      <c r="H21" s="24" t="s">
        <v>7</v>
      </c>
      <c r="I21" s="30">
        <v>0.16</v>
      </c>
      <c r="J21" s="30">
        <v>0.16014020277845131</v>
      </c>
      <c r="K21" s="31">
        <v>4000</v>
      </c>
      <c r="L21" s="31">
        <v>4000000</v>
      </c>
      <c r="M21" s="31">
        <v>4250301.0658</v>
      </c>
      <c r="N21" s="31">
        <v>4250300.9920000006</v>
      </c>
      <c r="O21" s="33">
        <f t="shared" si="0"/>
        <v>2.0438810730144363E-2</v>
      </c>
      <c r="P21" s="76" t="s">
        <v>2</v>
      </c>
      <c r="Q21" s="29" t="s">
        <v>115</v>
      </c>
      <c r="R21" s="77" t="s">
        <v>15</v>
      </c>
      <c r="S21" s="29" t="s">
        <v>93</v>
      </c>
      <c r="T21" s="30" t="s">
        <v>15</v>
      </c>
      <c r="U21" s="32">
        <v>47224</v>
      </c>
      <c r="V21" s="30" t="s">
        <v>15</v>
      </c>
      <c r="W21" s="30" t="s">
        <v>15</v>
      </c>
      <c r="X21" s="25" t="s">
        <v>66</v>
      </c>
      <c r="Y21" s="25" t="s">
        <v>116</v>
      </c>
      <c r="Z21" s="25" t="s">
        <v>15</v>
      </c>
      <c r="AA21" s="25" t="s">
        <v>15</v>
      </c>
    </row>
    <row r="22" spans="4:27" x14ac:dyDescent="0.45">
      <c r="D22" s="78"/>
      <c r="E22" s="37" t="s">
        <v>78</v>
      </c>
      <c r="F22" s="37" t="s">
        <v>10</v>
      </c>
      <c r="G22" s="25" t="s">
        <v>14</v>
      </c>
      <c r="H22" s="24" t="s">
        <v>59</v>
      </c>
      <c r="I22" s="30">
        <v>0.05</v>
      </c>
      <c r="J22" s="30">
        <v>4.9295636807321408E-2</v>
      </c>
      <c r="K22" s="31">
        <v>4000</v>
      </c>
      <c r="L22" s="31">
        <v>4000000</v>
      </c>
      <c r="M22" s="31">
        <v>4023698.8560000001</v>
      </c>
      <c r="N22" s="31">
        <v>4071576.6359999999</v>
      </c>
      <c r="O22" s="33">
        <f t="shared" si="0"/>
        <v>1.957936258940644E-2</v>
      </c>
      <c r="P22" s="29" t="s">
        <v>2</v>
      </c>
      <c r="Q22" s="29" t="s">
        <v>97</v>
      </c>
      <c r="R22" s="30">
        <v>0.44679999999999997</v>
      </c>
      <c r="S22" s="29" t="s">
        <v>4</v>
      </c>
      <c r="T22" s="60">
        <v>2.4</v>
      </c>
      <c r="U22" s="32">
        <v>46071</v>
      </c>
      <c r="V22" s="37" t="s">
        <v>15</v>
      </c>
      <c r="W22" s="65" t="s">
        <v>15</v>
      </c>
      <c r="X22" s="25" t="s">
        <v>66</v>
      </c>
      <c r="Y22" s="25" t="s">
        <v>62</v>
      </c>
      <c r="Z22" s="25" t="s">
        <v>129</v>
      </c>
      <c r="AA22" s="25" t="s">
        <v>15</v>
      </c>
    </row>
    <row r="23" spans="4:27" x14ac:dyDescent="0.45">
      <c r="D23" s="78"/>
      <c r="E23" s="37" t="s">
        <v>78</v>
      </c>
      <c r="F23" s="37" t="s">
        <v>133</v>
      </c>
      <c r="G23" s="25" t="s">
        <v>134</v>
      </c>
      <c r="H23" s="24" t="s">
        <v>3</v>
      </c>
      <c r="I23" s="30">
        <v>0.109</v>
      </c>
      <c r="J23" s="30">
        <v>0.109</v>
      </c>
      <c r="K23" s="31">
        <v>3778</v>
      </c>
      <c r="L23" s="31">
        <v>3781882.56</v>
      </c>
      <c r="M23" s="31">
        <v>3784209.33564022</v>
      </c>
      <c r="N23" s="31">
        <v>3744091.5055</v>
      </c>
      <c r="O23" s="33">
        <f t="shared" si="0"/>
        <v>1.800455492006147E-2</v>
      </c>
      <c r="P23" s="29" t="s">
        <v>2</v>
      </c>
      <c r="Q23" s="29" t="s">
        <v>97</v>
      </c>
      <c r="R23" s="30">
        <v>0.57073170731707312</v>
      </c>
      <c r="S23" s="29" t="s">
        <v>4</v>
      </c>
      <c r="T23" s="60">
        <v>3</v>
      </c>
      <c r="U23" s="32">
        <v>46590</v>
      </c>
      <c r="V23" s="37" t="s">
        <v>15</v>
      </c>
      <c r="W23" s="65" t="s">
        <v>15</v>
      </c>
      <c r="X23" s="25" t="s">
        <v>136</v>
      </c>
      <c r="Y23" s="25" t="s">
        <v>135</v>
      </c>
      <c r="Z23" s="25" t="s">
        <v>137</v>
      </c>
      <c r="AA23" s="25" t="s">
        <v>15</v>
      </c>
    </row>
    <row r="24" spans="4:27" x14ac:dyDescent="0.45">
      <c r="D24" s="78"/>
      <c r="E24" s="37" t="s">
        <v>78</v>
      </c>
      <c r="F24" s="37" t="s">
        <v>107</v>
      </c>
      <c r="G24" s="25" t="s">
        <v>109</v>
      </c>
      <c r="H24" s="24" t="s">
        <v>7</v>
      </c>
      <c r="I24" s="30">
        <v>0.16</v>
      </c>
      <c r="J24" s="30">
        <v>0.16014020277845131</v>
      </c>
      <c r="K24" s="31">
        <v>2500</v>
      </c>
      <c r="L24" s="31">
        <v>2500000</v>
      </c>
      <c r="M24" s="31">
        <v>2596444.0277499999</v>
      </c>
      <c r="N24" s="31">
        <v>2596444.0249999999</v>
      </c>
      <c r="O24" s="33">
        <f t="shared" si="0"/>
        <v>1.2485757620054503E-2</v>
      </c>
      <c r="P24" s="76" t="s">
        <v>2</v>
      </c>
      <c r="Q24" s="29" t="s">
        <v>115</v>
      </c>
      <c r="R24" s="77" t="s">
        <v>15</v>
      </c>
      <c r="S24" s="29" t="s">
        <v>93</v>
      </c>
      <c r="T24" s="30" t="s">
        <v>15</v>
      </c>
      <c r="U24" s="32">
        <v>47224</v>
      </c>
      <c r="V24" s="30" t="s">
        <v>15</v>
      </c>
      <c r="W24" s="30" t="s">
        <v>15</v>
      </c>
      <c r="X24" s="25" t="s">
        <v>66</v>
      </c>
      <c r="Y24" s="25" t="s">
        <v>116</v>
      </c>
      <c r="Z24" s="25" t="s">
        <v>15</v>
      </c>
      <c r="AA24" s="25" t="s">
        <v>15</v>
      </c>
    </row>
    <row r="25" spans="4:27" x14ac:dyDescent="0.45">
      <c r="E25" s="37"/>
      <c r="F25" s="37"/>
      <c r="G25" s="25"/>
      <c r="H25" s="24"/>
      <c r="I25" s="30"/>
      <c r="J25" s="30"/>
      <c r="K25" s="31"/>
      <c r="L25" s="31"/>
      <c r="O25" s="33"/>
      <c r="P25" s="76"/>
      <c r="Q25" s="29"/>
      <c r="R25" s="30"/>
      <c r="S25" s="29"/>
      <c r="T25" s="60"/>
      <c r="U25" s="32"/>
      <c r="V25" s="39"/>
      <c r="W25" s="65"/>
      <c r="X25" s="25"/>
      <c r="Y25" s="25"/>
      <c r="Z25" s="25"/>
    </row>
    <row r="26" spans="4:27" x14ac:dyDescent="0.45">
      <c r="E26" s="37" t="s">
        <v>92</v>
      </c>
      <c r="F26" s="37" t="s">
        <v>117</v>
      </c>
      <c r="G26" s="25" t="s">
        <v>15</v>
      </c>
      <c r="H26" s="24" t="s">
        <v>7</v>
      </c>
      <c r="I26" s="30">
        <v>0.3994094929817591</v>
      </c>
      <c r="J26" s="30">
        <v>0.3994094929817591</v>
      </c>
      <c r="K26" s="26">
        <v>1</v>
      </c>
      <c r="L26" s="31">
        <v>932970.35</v>
      </c>
      <c r="M26" s="31">
        <v>4320057</v>
      </c>
      <c r="N26" s="31">
        <v>4320057</v>
      </c>
      <c r="O26" s="33">
        <f>N26/SUM($N:$N)</f>
        <v>2.0774252819418974E-2</v>
      </c>
      <c r="P26" s="29" t="s">
        <v>2</v>
      </c>
      <c r="Q26" s="29" t="s">
        <v>8</v>
      </c>
      <c r="R26" s="30" t="s">
        <v>15</v>
      </c>
      <c r="S26" s="29" t="s">
        <v>93</v>
      </c>
      <c r="T26" s="30" t="s">
        <v>15</v>
      </c>
      <c r="U26" s="32">
        <v>46844</v>
      </c>
      <c r="V26" s="30" t="s">
        <v>15</v>
      </c>
      <c r="W26" s="30" t="s">
        <v>15</v>
      </c>
      <c r="X26" s="25" t="s">
        <v>15</v>
      </c>
      <c r="Y26" s="30" t="s">
        <v>15</v>
      </c>
      <c r="Z26" s="30" t="s">
        <v>15</v>
      </c>
      <c r="AA26" s="30" t="s">
        <v>15</v>
      </c>
    </row>
    <row r="27" spans="4:27" x14ac:dyDescent="0.45">
      <c r="E27" s="37" t="s">
        <v>11</v>
      </c>
      <c r="F27" s="39" t="s">
        <v>123</v>
      </c>
      <c r="G27" s="25" t="s">
        <v>15</v>
      </c>
      <c r="H27" s="24" t="s">
        <v>11</v>
      </c>
      <c r="I27" s="25" t="s">
        <v>15</v>
      </c>
      <c r="J27" s="25" t="s">
        <v>15</v>
      </c>
      <c r="K27" s="26">
        <v>1</v>
      </c>
      <c r="L27" s="34">
        <v>10553248.580000002</v>
      </c>
      <c r="M27" s="31">
        <f>L27</f>
        <v>10553248.580000002</v>
      </c>
      <c r="N27" s="31">
        <f>M27</f>
        <v>10553248.580000002</v>
      </c>
      <c r="O27" s="33">
        <f>N27/SUM($N:$N)</f>
        <v>5.0748370696751068E-2</v>
      </c>
      <c r="P27" s="29" t="s">
        <v>11</v>
      </c>
      <c r="Q27" s="39" t="s">
        <v>15</v>
      </c>
      <c r="R27" s="30" t="s">
        <v>15</v>
      </c>
      <c r="S27" s="39" t="s">
        <v>15</v>
      </c>
      <c r="T27" s="61" t="s">
        <v>15</v>
      </c>
      <c r="U27" s="39" t="s">
        <v>15</v>
      </c>
      <c r="V27" s="39" t="s">
        <v>15</v>
      </c>
      <c r="W27" s="29" t="s">
        <v>15</v>
      </c>
      <c r="X27" s="39" t="s">
        <v>15</v>
      </c>
      <c r="Y27" s="39" t="s">
        <v>15</v>
      </c>
      <c r="Z27" s="39" t="s">
        <v>15</v>
      </c>
      <c r="AA27" s="39" t="s">
        <v>15</v>
      </c>
    </row>
    <row r="28" spans="4:27" x14ac:dyDescent="0.45">
      <c r="E28" s="37"/>
      <c r="F28" s="39"/>
      <c r="G28" s="25"/>
      <c r="H28" s="24"/>
      <c r="I28" s="30"/>
      <c r="J28" s="25"/>
      <c r="K28" s="25"/>
      <c r="L28" s="34"/>
      <c r="O28" s="27"/>
      <c r="P28" s="29"/>
      <c r="Q28" s="29"/>
      <c r="R28" s="30"/>
      <c r="S28" s="29"/>
      <c r="T28" s="61"/>
      <c r="U28" s="39"/>
      <c r="V28" s="39"/>
      <c r="W28" s="30"/>
      <c r="X28" s="39"/>
      <c r="Y28" s="25"/>
      <c r="Z28" s="25"/>
    </row>
    <row r="29" spans="4:27" x14ac:dyDescent="0.45">
      <c r="E29" s="79" t="s">
        <v>131</v>
      </c>
      <c r="H29"/>
      <c r="I29" s="63"/>
      <c r="L29" s="31"/>
      <c r="O29" s="83"/>
    </row>
    <row r="30" spans="4:27" x14ac:dyDescent="0.45">
      <c r="H30"/>
      <c r="L30" s="84"/>
      <c r="N30" s="84"/>
      <c r="O30" s="85"/>
    </row>
  </sheetData>
  <sheetCalcPr fullCalcOnLoad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S33"/>
  <sheetViews>
    <sheetView showGridLines="0" topLeftCell="D7" zoomScale="130" zoomScaleNormal="130" workbookViewId="0">
      <selection activeCell="R12" sqref="R12"/>
    </sheetView>
  </sheetViews>
  <sheetFormatPr defaultColWidth="9.1796875" defaultRowHeight="16" x14ac:dyDescent="0.45"/>
  <cols>
    <col min="1" max="1" width="6.7265625" style="4" customWidth="1"/>
    <col min="2" max="2" width="5.453125" style="4" customWidth="1"/>
    <col min="3" max="3" width="6.7265625" style="4" customWidth="1"/>
    <col min="4" max="4" width="2.1796875" style="4" customWidth="1"/>
    <col min="5" max="5" width="1.453125" style="4" customWidth="1"/>
    <col min="6" max="6" width="26.7265625" style="4" bestFit="1" customWidth="1"/>
    <col min="7" max="7" width="8.1796875" style="4" bestFit="1" customWidth="1"/>
    <col min="8" max="8" width="8.453125" style="4" bestFit="1" customWidth="1"/>
    <col min="9" max="9" width="8.26953125" style="4" bestFit="1" customWidth="1"/>
    <col min="10" max="11" width="8.1796875" style="4" bestFit="1" customWidth="1"/>
    <col min="12" max="12" width="8.26953125" style="4" bestFit="1" customWidth="1"/>
    <col min="13" max="13" width="8.1796875" style="4" bestFit="1" customWidth="1"/>
    <col min="14" max="14" width="8.453125" style="4" bestFit="1" customWidth="1"/>
    <col min="15" max="15" width="14" style="4" customWidth="1"/>
    <col min="16" max="16" width="2" style="4" customWidth="1"/>
    <col min="17" max="17" width="11.26953125" style="4" customWidth="1"/>
    <col min="18" max="18" width="9.26953125" style="4" bestFit="1" customWidth="1"/>
    <col min="19" max="16384" width="9.1796875" style="4"/>
  </cols>
  <sheetData>
    <row r="8" spans="6:19" s="8" customFormat="1" x14ac:dyDescent="0.45">
      <c r="F8" s="40" t="s">
        <v>31</v>
      </c>
      <c r="G8" s="41">
        <v>45292</v>
      </c>
      <c r="H8" s="73">
        <f t="shared" ref="H8:O8" si="0">EDATE(G8,1)</f>
        <v>45323</v>
      </c>
      <c r="I8" s="73">
        <f t="shared" si="0"/>
        <v>45352</v>
      </c>
      <c r="J8" s="73">
        <f t="shared" si="0"/>
        <v>45383</v>
      </c>
      <c r="K8" s="73">
        <f t="shared" si="0"/>
        <v>45413</v>
      </c>
      <c r="L8" s="73">
        <f t="shared" si="0"/>
        <v>45444</v>
      </c>
      <c r="M8" s="73">
        <f t="shared" si="0"/>
        <v>45474</v>
      </c>
      <c r="N8" s="73">
        <f t="shared" si="0"/>
        <v>45505</v>
      </c>
      <c r="O8" s="73">
        <f t="shared" si="0"/>
        <v>45536</v>
      </c>
      <c r="P8" s="4"/>
      <c r="Q8" s="41" t="s">
        <v>43</v>
      </c>
      <c r="R8" s="41" t="s">
        <v>32</v>
      </c>
    </row>
    <row r="9" spans="6:19" x14ac:dyDescent="0.45">
      <c r="F9" s="42" t="s">
        <v>33</v>
      </c>
      <c r="G9" s="43">
        <v>971378.65000002831</v>
      </c>
      <c r="H9" s="43">
        <v>570571.97000002861</v>
      </c>
      <c r="I9" s="43">
        <v>606285.69999999553</v>
      </c>
      <c r="J9" s="43">
        <v>512117.90000000596</v>
      </c>
      <c r="K9" s="43">
        <v>249266.91000000387</v>
      </c>
      <c r="L9" s="43">
        <v>153013.62999999896</v>
      </c>
      <c r="M9" s="43">
        <v>158747.73000000045</v>
      </c>
      <c r="N9" s="43">
        <v>136575.27999999933</v>
      </c>
      <c r="O9" s="43">
        <v>93816.879999998957</v>
      </c>
      <c r="Q9" s="43">
        <f>SUM(G9:O9)</f>
        <v>3451774.65000006</v>
      </c>
      <c r="R9" s="43">
        <f>SUM(J9:O9)</f>
        <v>1303538.3300000075</v>
      </c>
      <c r="S9" s="62"/>
    </row>
    <row r="10" spans="6:19" x14ac:dyDescent="0.45">
      <c r="F10" s="42" t="s">
        <v>34</v>
      </c>
      <c r="G10" s="43">
        <v>40888.790080000064</v>
      </c>
      <c r="H10" s="43">
        <v>1238091.9521987396</v>
      </c>
      <c r="I10" s="43">
        <v>1468936.0424781642</v>
      </c>
      <c r="J10" s="43">
        <v>1714468.7327987014</v>
      </c>
      <c r="K10" s="43">
        <v>1484398.8855116235</v>
      </c>
      <c r="L10" s="43">
        <v>2086706.7179435091</v>
      </c>
      <c r="M10" s="43">
        <v>1995143.5324496718</v>
      </c>
      <c r="N10" s="43">
        <v>1956615.1825502305</v>
      </c>
      <c r="O10" s="43">
        <v>2207497.1882872181</v>
      </c>
      <c r="Q10" s="43">
        <f>SUM(G10:O10)</f>
        <v>14192747.02429786</v>
      </c>
      <c r="R10" s="43">
        <f>SUM(J10:O10)</f>
        <v>11444830.239540953</v>
      </c>
      <c r="S10" s="62"/>
    </row>
    <row r="11" spans="6:19" x14ac:dyDescent="0.45">
      <c r="F11" s="42" t="s">
        <v>35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125000</v>
      </c>
      <c r="M11" s="44">
        <v>0</v>
      </c>
      <c r="N11" s="44">
        <v>125031.66</v>
      </c>
      <c r="O11" s="44">
        <v>41482.939999999478</v>
      </c>
      <c r="Q11" s="43">
        <f>SUM(G11:O11)</f>
        <v>291514.59999999951</v>
      </c>
      <c r="R11" s="43">
        <f>SUM(J11:O11)</f>
        <v>291514.59999999951</v>
      </c>
      <c r="S11" s="62"/>
    </row>
    <row r="12" spans="6:19" x14ac:dyDescent="0.45">
      <c r="F12" s="42" t="s">
        <v>36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Q12" s="43">
        <f>SUM(G12:O12)</f>
        <v>0</v>
      </c>
      <c r="R12" s="43">
        <f>SUM(J12:O12)</f>
        <v>0</v>
      </c>
      <c r="S12" s="62"/>
    </row>
    <row r="13" spans="6:19" x14ac:dyDescent="0.45">
      <c r="F13" s="48" t="s">
        <v>37</v>
      </c>
      <c r="G13" s="49">
        <f t="shared" ref="G13:O13" si="1">SUM(G9:G12)</f>
        <v>1012267.4400800284</v>
      </c>
      <c r="H13" s="49">
        <f t="shared" si="1"/>
        <v>1808663.9221987682</v>
      </c>
      <c r="I13" s="49">
        <f t="shared" si="1"/>
        <v>2075221.7424781597</v>
      </c>
      <c r="J13" s="49">
        <f t="shared" si="1"/>
        <v>2226586.6327987071</v>
      </c>
      <c r="K13" s="49">
        <f t="shared" si="1"/>
        <v>1733665.7955116273</v>
      </c>
      <c r="L13" s="49">
        <f t="shared" si="1"/>
        <v>2364720.3479435081</v>
      </c>
      <c r="M13" s="49">
        <f t="shared" si="1"/>
        <v>2153891.2624496724</v>
      </c>
      <c r="N13" s="49">
        <f t="shared" si="1"/>
        <v>2218222.12255023</v>
      </c>
      <c r="O13" s="49">
        <f t="shared" si="1"/>
        <v>2342797.0082872165</v>
      </c>
      <c r="Q13" s="81">
        <f>SUM(G13:O13)</f>
        <v>17936036.274297919</v>
      </c>
      <c r="R13" s="81">
        <f>SUM(J13:O13)</f>
        <v>13039883.169540964</v>
      </c>
      <c r="S13" s="62"/>
    </row>
    <row r="14" spans="6:19" ht="9.75" customHeight="1" x14ac:dyDescent="0.45">
      <c r="Q14" s="43"/>
      <c r="R14" s="43"/>
    </row>
    <row r="15" spans="6:19" x14ac:dyDescent="0.45">
      <c r="F15" s="42" t="s">
        <v>38</v>
      </c>
      <c r="G15" s="45">
        <v>-9888.89</v>
      </c>
      <c r="H15" s="45">
        <v>-231983.99904766399</v>
      </c>
      <c r="I15" s="45">
        <v>-207281.59000000003</v>
      </c>
      <c r="J15" s="45">
        <v>-217172.61000000002</v>
      </c>
      <c r="K15" s="45">
        <v>-271817.36</v>
      </c>
      <c r="L15" s="45">
        <v>-220601.58</v>
      </c>
      <c r="M15" s="45">
        <v>-215131.64</v>
      </c>
      <c r="N15" s="45">
        <v>-268699.78000000003</v>
      </c>
      <c r="O15" s="45">
        <v>-240360.39999999997</v>
      </c>
      <c r="Q15" s="43">
        <f>SUM(G15:O15)</f>
        <v>-1882937.8490476639</v>
      </c>
      <c r="R15" s="43">
        <f>SUM(J15:O15)</f>
        <v>-1433783.3699999999</v>
      </c>
      <c r="S15" s="62"/>
    </row>
    <row r="16" spans="6:19" x14ac:dyDescent="0.45">
      <c r="F16" s="50" t="s">
        <v>39</v>
      </c>
      <c r="G16" s="51">
        <f t="shared" ref="G16:O16" si="2">G15</f>
        <v>-9888.89</v>
      </c>
      <c r="H16" s="51">
        <f t="shared" si="2"/>
        <v>-231983.99904766399</v>
      </c>
      <c r="I16" s="51">
        <f t="shared" si="2"/>
        <v>-207281.59000000003</v>
      </c>
      <c r="J16" s="51">
        <f t="shared" si="2"/>
        <v>-217172.61000000002</v>
      </c>
      <c r="K16" s="51">
        <f t="shared" si="2"/>
        <v>-271817.36</v>
      </c>
      <c r="L16" s="51">
        <f t="shared" si="2"/>
        <v>-220601.58</v>
      </c>
      <c r="M16" s="51">
        <f t="shared" si="2"/>
        <v>-215131.64</v>
      </c>
      <c r="N16" s="51">
        <f t="shared" si="2"/>
        <v>-268699.78000000003</v>
      </c>
      <c r="O16" s="51">
        <f t="shared" si="2"/>
        <v>-240360.39999999997</v>
      </c>
      <c r="Q16" s="81">
        <f>SUM(G16:O16)</f>
        <v>-1882937.8490476639</v>
      </c>
      <c r="R16" s="81">
        <f>SUM(J16:O16)</f>
        <v>-1433783.3699999999</v>
      </c>
      <c r="S16" s="62"/>
    </row>
    <row r="17" spans="6:19" x14ac:dyDescent="0.45">
      <c r="F17" s="50" t="s">
        <v>40</v>
      </c>
      <c r="G17" s="51">
        <f t="shared" ref="G17:M17" si="3">SUM(G16,G13)</f>
        <v>1002378.5500800284</v>
      </c>
      <c r="H17" s="51">
        <f t="shared" si="3"/>
        <v>1576679.9231511042</v>
      </c>
      <c r="I17" s="51">
        <f t="shared" si="3"/>
        <v>1867940.1524781596</v>
      </c>
      <c r="J17" s="51">
        <f t="shared" si="3"/>
        <v>2009414.022798707</v>
      </c>
      <c r="K17" s="51">
        <f t="shared" si="3"/>
        <v>1461848.4355116272</v>
      </c>
      <c r="L17" s="51">
        <f t="shared" si="3"/>
        <v>2144118.767943508</v>
      </c>
      <c r="M17" s="51">
        <f t="shared" si="3"/>
        <v>1938759.6224496723</v>
      </c>
      <c r="N17" s="51">
        <f>SUM(N13,N16)</f>
        <v>1949522.34255023</v>
      </c>
      <c r="O17" s="51">
        <f>SUM(O13,O16)</f>
        <v>2102436.6082872166</v>
      </c>
      <c r="Q17" s="81">
        <f>SUM(G17:O17)</f>
        <v>16053098.425250253</v>
      </c>
      <c r="R17" s="81">
        <f>SUM(J17:O17)</f>
        <v>11606099.799540961</v>
      </c>
      <c r="S17" s="62"/>
    </row>
    <row r="18" spans="6:19" ht="9.75" customHeight="1" x14ac:dyDescent="0.45">
      <c r="Q18" s="43"/>
      <c r="R18" s="43">
        <f>SUM(J18:O18)</f>
        <v>0</v>
      </c>
    </row>
    <row r="19" spans="6:19" x14ac:dyDescent="0.45">
      <c r="F19" s="50" t="s">
        <v>41</v>
      </c>
      <c r="G19" s="49">
        <v>966130.08</v>
      </c>
      <c r="H19" s="49">
        <v>1576590.5999999999</v>
      </c>
      <c r="I19" s="49">
        <v>1807823.13</v>
      </c>
      <c r="J19" s="49">
        <v>1807823.13</v>
      </c>
      <c r="K19" s="49">
        <v>1807823.13</v>
      </c>
      <c r="L19" s="49">
        <v>1807823.13</v>
      </c>
      <c r="M19" s="49">
        <v>1807823.13</v>
      </c>
      <c r="N19" s="49">
        <v>1807823.8879999998</v>
      </c>
      <c r="O19" s="49">
        <v>1807823.8879999998</v>
      </c>
      <c r="Q19" s="81">
        <f>SUM(G19:O19)</f>
        <v>15197484.105999999</v>
      </c>
      <c r="R19" s="81">
        <f>SUM(J19:O19)</f>
        <v>10846940.296</v>
      </c>
      <c r="S19" s="62"/>
    </row>
    <row r="20" spans="6:19" x14ac:dyDescent="0.45">
      <c r="F20" s="52" t="s">
        <v>42</v>
      </c>
      <c r="G20" s="53">
        <v>21021208</v>
      </c>
      <c r="H20" s="53">
        <v>21021208</v>
      </c>
      <c r="I20" s="53">
        <v>21021208</v>
      </c>
      <c r="J20" s="53">
        <v>21021208</v>
      </c>
      <c r="K20" s="53">
        <v>21021208</v>
      </c>
      <c r="L20" s="53">
        <v>21021208</v>
      </c>
      <c r="M20" s="53">
        <v>21021208</v>
      </c>
      <c r="N20" s="53">
        <v>21021208</v>
      </c>
      <c r="O20" s="53">
        <v>21021208</v>
      </c>
      <c r="Q20" s="53">
        <v>21021208</v>
      </c>
      <c r="R20" s="53">
        <v>21021208</v>
      </c>
    </row>
    <row r="21" spans="6:19" x14ac:dyDescent="0.45">
      <c r="F21" s="46" t="s">
        <v>141</v>
      </c>
      <c r="G21" s="74">
        <f t="shared" ref="G21:O21" si="4">G19/G20</f>
        <v>4.5959779285757507E-2</v>
      </c>
      <c r="H21" s="74">
        <f t="shared" si="4"/>
        <v>7.4999999999999997E-2</v>
      </c>
      <c r="I21" s="74">
        <f t="shared" si="4"/>
        <v>8.599996394117787E-2</v>
      </c>
      <c r="J21" s="74">
        <f t="shared" si="4"/>
        <v>8.599996394117787E-2</v>
      </c>
      <c r="K21" s="74">
        <f t="shared" si="4"/>
        <v>8.599996394117787E-2</v>
      </c>
      <c r="L21" s="74">
        <f t="shared" si="4"/>
        <v>8.599996394117787E-2</v>
      </c>
      <c r="M21" s="74">
        <f t="shared" si="4"/>
        <v>8.599996394117787E-2</v>
      </c>
      <c r="N21" s="74">
        <f t="shared" si="4"/>
        <v>8.5999999999999993E-2</v>
      </c>
      <c r="O21" s="74">
        <f t="shared" si="4"/>
        <v>8.5999999999999993E-2</v>
      </c>
      <c r="Q21" s="74">
        <f>AVERAGE($G$21:$O$21)</f>
        <v>8.0328844332405211E-2</v>
      </c>
      <c r="R21" s="74">
        <f>AVERAGE($J$21:$O$21)</f>
        <v>8.5999975960785235E-2</v>
      </c>
    </row>
    <row r="23" spans="6:19" s="38" customFormat="1" x14ac:dyDescent="0.45">
      <c r="F23" s="50" t="s">
        <v>44</v>
      </c>
      <c r="G23" s="54">
        <f>209449739.44/G20</f>
        <v>9.9637346930775816</v>
      </c>
      <c r="H23" s="54">
        <v>9.9109945579721206</v>
      </c>
      <c r="I23" s="54">
        <v>9.8356521233223138</v>
      </c>
      <c r="J23" s="54">
        <v>9.6880027908006046</v>
      </c>
      <c r="K23" s="54">
        <v>9.6441522176080454</v>
      </c>
      <c r="L23" s="54">
        <v>9.86</v>
      </c>
      <c r="M23" s="54">
        <v>9.9477290125286792</v>
      </c>
      <c r="N23" s="54">
        <v>9.9551319399999993</v>
      </c>
      <c r="O23" s="54">
        <v>9.9019579899999997</v>
      </c>
      <c r="Q23" s="80"/>
      <c r="R23" s="4"/>
    </row>
    <row r="24" spans="6:19" x14ac:dyDescent="0.45">
      <c r="Q24" s="80"/>
    </row>
    <row r="25" spans="6:19" x14ac:dyDescent="0.45">
      <c r="O25" s="47"/>
      <c r="Q25" s="47"/>
    </row>
    <row r="26" spans="6:19" x14ac:dyDescent="0.45">
      <c r="G26" s="67"/>
      <c r="H26" s="67"/>
      <c r="I26" s="67"/>
      <c r="J26" s="67"/>
      <c r="K26" s="67"/>
      <c r="L26" s="67"/>
      <c r="M26" s="67"/>
      <c r="N26" s="67"/>
      <c r="Q26" s="62"/>
      <c r="R26" s="62"/>
    </row>
    <row r="27" spans="6:19" x14ac:dyDescent="0.45">
      <c r="G27" s="68"/>
      <c r="H27" s="68"/>
      <c r="I27" s="68"/>
      <c r="J27" s="68"/>
      <c r="K27" s="68"/>
      <c r="L27" s="68"/>
      <c r="M27" s="68"/>
      <c r="N27" s="68"/>
      <c r="Q27" s="62"/>
      <c r="R27" s="62"/>
    </row>
    <row r="28" spans="6:19" x14ac:dyDescent="0.45">
      <c r="O28" s="93"/>
    </row>
    <row r="29" spans="6:19" x14ac:dyDescent="0.45">
      <c r="G29" s="69"/>
      <c r="H29" s="69"/>
      <c r="I29" s="69"/>
      <c r="J29" s="69"/>
      <c r="K29" s="69"/>
      <c r="L29" s="69"/>
      <c r="M29" s="69"/>
      <c r="N29" s="69"/>
    </row>
    <row r="30" spans="6:19" x14ac:dyDescent="0.45">
      <c r="G30" s="69"/>
      <c r="H30" s="69"/>
      <c r="I30" s="69"/>
      <c r="J30" s="69"/>
      <c r="K30" s="69"/>
      <c r="L30" s="69"/>
      <c r="M30" s="69"/>
      <c r="N30" s="69"/>
    </row>
    <row r="32" spans="6:19" x14ac:dyDescent="0.45">
      <c r="G32" s="62"/>
      <c r="H32" s="62"/>
      <c r="I32" s="62"/>
      <c r="J32" s="62"/>
      <c r="K32" s="62"/>
      <c r="L32" s="62"/>
      <c r="M32" s="62"/>
      <c r="N32" s="62"/>
    </row>
    <row r="33" spans="7:14" x14ac:dyDescent="0.45">
      <c r="G33" s="62"/>
      <c r="H33" s="62"/>
      <c r="I33" s="62"/>
      <c r="J33" s="62"/>
      <c r="K33" s="62"/>
      <c r="L33" s="62"/>
      <c r="M33" s="62"/>
      <c r="N33" s="6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2024-06-14T17:26:38Z</cp:lastPrinted>
  <dcterms:created xsi:type="dcterms:W3CDTF">2023-10-11T17:28:22Z</dcterms:created>
  <dcterms:modified xsi:type="dcterms:W3CDTF">2024-10-14T21:56:10Z</dcterms:modified>
</cp:coreProperties>
</file>